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wmf" ContentType="image/x-wmf"/>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C:\Users\norela.briceno\Documents\Planeación Estratégica\Plan Acción 2019\"/>
    </mc:Choice>
  </mc:AlternateContent>
  <xr:revisionPtr revIDLastSave="0" documentId="13_ncr:1_{D97565D3-6788-4F10-854A-FE24C816B1B3}" xr6:coauthVersionLast="41" xr6:coauthVersionMax="41" xr10:uidLastSave="{00000000-0000-0000-0000-000000000000}"/>
  <bookViews>
    <workbookView xWindow="-120" yWindow="-120" windowWidth="20640" windowHeight="11160"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'Cuadro Mando Integral Detallado'!$B$14:$CN$363</definedName>
    <definedName name="_xlnm._FilterDatabase" localSheetId="3" hidden="1">'Plan de Accion ajustes normativ'!$A$7:$HT$9</definedName>
    <definedName name="_xlnm._FilterDatabase" localSheetId="2" hidden="1">'Plan de Accion apoyo transversa'!$A$8:$DC$188</definedName>
    <definedName name="_xlnm._FilterDatabase" localSheetId="1" hidden="1">'Plan de Accion Misional'!$A$8:$HU$21</definedName>
    <definedName name="_xlnm._FilterDatabase" localSheetId="0" hidden="1">'Plan de Accion Proyectos estrat'!$A$8:$HU$38</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6" i="38" l="1"/>
  <c r="V12" i="35"/>
  <c r="V11" i="35"/>
  <c r="P13" i="36"/>
  <c r="P12" i="35"/>
  <c r="P11" i="35"/>
  <c r="S363" i="33"/>
  <c r="S362" i="33"/>
  <c r="R363" i="33"/>
  <c r="R362" i="33"/>
  <c r="R304" i="33"/>
  <c r="T219" i="33"/>
  <c r="U219" i="33" s="1"/>
  <c r="V219" i="33" s="1"/>
  <c r="R219" i="33"/>
  <c r="S219" i="33" s="1"/>
  <c r="BF24" i="3"/>
  <c r="BH24" i="3"/>
  <c r="AN69" i="3"/>
  <c r="BD41" i="3" l="1"/>
  <c r="BH30" i="3" l="1"/>
  <c r="BF30" i="3"/>
  <c r="AQ18" i="29"/>
  <c r="AQ17" i="29"/>
  <c r="AI30" i="27" l="1"/>
  <c r="AA15" i="38" l="1"/>
  <c r="Z15" i="38"/>
  <c r="Y15" i="38"/>
  <c r="X15" i="38"/>
  <c r="W15" i="38"/>
  <c r="AA12" i="38"/>
  <c r="Z12" i="38"/>
  <c r="Y12" i="38"/>
  <c r="X12" i="38"/>
  <c r="W12" i="38"/>
  <c r="U15" i="38"/>
  <c r="T15" i="38"/>
  <c r="S15" i="38"/>
  <c r="R15" i="38"/>
  <c r="Q15" i="38"/>
  <c r="G356" i="33" l="1"/>
  <c r="H356" i="33"/>
  <c r="J356" i="33"/>
  <c r="Q356" i="33"/>
  <c r="X356" i="33"/>
  <c r="AE356" i="33"/>
  <c r="CB13" i="3"/>
  <c r="CB12" i="3"/>
  <c r="BZ13" i="3"/>
  <c r="BZ12" i="3"/>
  <c r="BR13" i="3"/>
  <c r="BR12" i="3"/>
  <c r="BP13" i="3"/>
  <c r="BP12" i="3"/>
  <c r="AA231" i="33"/>
  <c r="C9" i="35" l="1"/>
  <c r="AT157" i="3"/>
  <c r="AV157" i="3" s="1"/>
  <c r="BF157" i="3"/>
  <c r="AK27" i="27"/>
  <c r="AI27" i="27"/>
  <c r="AC11" i="34" l="1"/>
  <c r="AC7" i="34"/>
  <c r="AC8" i="34"/>
  <c r="AC6" i="34"/>
  <c r="O6" i="34" l="1"/>
  <c r="AG316" i="33"/>
  <c r="AG315" i="33"/>
  <c r="AG314" i="33"/>
  <c r="AG313" i="33"/>
  <c r="AG312" i="33"/>
  <c r="Z316" i="33"/>
  <c r="Z315" i="33"/>
  <c r="Z314" i="33"/>
  <c r="Z313" i="33"/>
  <c r="Z312" i="33"/>
  <c r="M207" i="33"/>
  <c r="G281" i="33"/>
  <c r="AM62" i="3"/>
  <c r="AE222" i="33"/>
  <c r="X222" i="33"/>
  <c r="AE281" i="33"/>
  <c r="X281" i="33"/>
  <c r="J281" i="33"/>
  <c r="H281" i="33"/>
  <c r="AM175" i="3"/>
  <c r="AM174" i="3"/>
  <c r="CK175" i="3"/>
  <c r="AF281" i="33" s="1"/>
  <c r="AG281" i="33" s="1"/>
  <c r="CI175" i="3"/>
  <c r="Y281" i="33" s="1"/>
  <c r="Z281" i="33" s="1"/>
  <c r="BZ175" i="3"/>
  <c r="BP175" i="3"/>
  <c r="BD175" i="3"/>
  <c r="Q281" i="33" s="1"/>
  <c r="AO175" i="3"/>
  <c r="CC175" i="3" s="1"/>
  <c r="AN175" i="3"/>
  <c r="AR175" i="3" s="1"/>
  <c r="X351" i="33"/>
  <c r="AE351" i="33"/>
  <c r="Q351" i="33"/>
  <c r="J351" i="33"/>
  <c r="H351" i="33"/>
  <c r="G351" i="33"/>
  <c r="G64" i="33"/>
  <c r="BZ37" i="3"/>
  <c r="BP37" i="3"/>
  <c r="BF37" i="3"/>
  <c r="AM38" i="3"/>
  <c r="CB38" i="3" s="1"/>
  <c r="AM37" i="3"/>
  <c r="BH37" i="3" s="1"/>
  <c r="T227" i="33" s="1"/>
  <c r="U227" i="33" s="1"/>
  <c r="V227" i="33" s="1"/>
  <c r="AE227" i="33"/>
  <c r="X227" i="33"/>
  <c r="Q227" i="33"/>
  <c r="J227" i="33"/>
  <c r="H227" i="33"/>
  <c r="G227" i="33"/>
  <c r="CK37" i="3"/>
  <c r="CI37" i="3"/>
  <c r="CG37" i="3"/>
  <c r="CE37" i="3"/>
  <c r="K227" i="33" s="1"/>
  <c r="L227" i="33" s="1"/>
  <c r="G55" i="33"/>
  <c r="AT37" i="3"/>
  <c r="AO37" i="3"/>
  <c r="BC37" i="3" s="1"/>
  <c r="AN37" i="3"/>
  <c r="BV37" i="3" s="1"/>
  <c r="AC9" i="3"/>
  <c r="BO12" i="27"/>
  <c r="BO13" i="27"/>
  <c r="BE13" i="27"/>
  <c r="BE12" i="27"/>
  <c r="AU13" i="27"/>
  <c r="AU12" i="27"/>
  <c r="AU11" i="27"/>
  <c r="BR11" i="27"/>
  <c r="BO11" i="27"/>
  <c r="BE11" i="27"/>
  <c r="AS11" i="27"/>
  <c r="R133" i="33" s="1"/>
  <c r="AK11" i="27"/>
  <c r="J132" i="33"/>
  <c r="AE133" i="33"/>
  <c r="X133" i="33"/>
  <c r="Q133" i="33"/>
  <c r="J133" i="33"/>
  <c r="AE132" i="33"/>
  <c r="X132" i="33"/>
  <c r="Q132" i="33"/>
  <c r="H133" i="33"/>
  <c r="H132" i="33"/>
  <c r="BX10" i="27"/>
  <c r="BV10" i="27"/>
  <c r="BT10" i="27"/>
  <c r="BR10" i="27"/>
  <c r="BO10" i="27"/>
  <c r="BM10" i="27"/>
  <c r="BE10" i="27"/>
  <c r="BC10" i="27"/>
  <c r="AU10" i="27"/>
  <c r="AS10" i="27"/>
  <c r="AI10" i="27"/>
  <c r="K132" i="33" s="1"/>
  <c r="L132" i="33" s="1"/>
  <c r="AK10" i="27"/>
  <c r="M132" i="33" s="1"/>
  <c r="N132" i="33" s="1"/>
  <c r="O132" i="33" s="1"/>
  <c r="CB175" i="3" l="1"/>
  <c r="AH281" i="33" s="1"/>
  <c r="AI281" i="33" s="1"/>
  <c r="S133" i="33"/>
  <c r="AX37" i="3"/>
  <c r="M227" i="33" s="1"/>
  <c r="N227" i="33" s="1"/>
  <c r="O227" i="33" s="1"/>
  <c r="BW37" i="3"/>
  <c r="CL37" i="3" s="1"/>
  <c r="CC37" i="3"/>
  <c r="AH55" i="33" s="1"/>
  <c r="AI55" i="33" s="1"/>
  <c r="AR37" i="3"/>
  <c r="BF175" i="3"/>
  <c r="AY37" i="3"/>
  <c r="M55" i="33" s="1"/>
  <c r="N55" i="33" s="1"/>
  <c r="O55" i="33" s="1"/>
  <c r="BI37" i="3"/>
  <c r="T55" i="33" s="1"/>
  <c r="U55" i="33" s="1"/>
  <c r="V55" i="33" s="1"/>
  <c r="CB37" i="3"/>
  <c r="AH227" i="33" s="1"/>
  <c r="AI227" i="33" s="1"/>
  <c r="BL37" i="3"/>
  <c r="CG175" i="3"/>
  <c r="R281" i="33" s="1"/>
  <c r="S281" i="33" s="1"/>
  <c r="P18" i="38" s="1"/>
  <c r="CH37" i="3"/>
  <c r="BG37" i="3"/>
  <c r="Q55" i="33" s="1"/>
  <c r="AS175" i="3"/>
  <c r="BI175" i="3"/>
  <c r="BM37" i="3"/>
  <c r="BH38" i="3"/>
  <c r="BS175" i="3"/>
  <c r="AY175" i="3"/>
  <c r="BV175" i="3"/>
  <c r="AS37" i="3"/>
  <c r="BB37" i="3"/>
  <c r="BS37" i="3"/>
  <c r="AA55" i="33" s="1"/>
  <c r="AB55" i="33" s="1"/>
  <c r="AC55" i="33" s="1"/>
  <c r="BR38" i="3"/>
  <c r="BC175" i="3"/>
  <c r="BW175" i="3"/>
  <c r="CL175" i="3" s="1"/>
  <c r="CA37" i="3"/>
  <c r="AE55" i="33" s="1"/>
  <c r="BR37" i="3"/>
  <c r="AA227" i="33" s="1"/>
  <c r="AB227" i="33" s="1"/>
  <c r="AC227" i="33" s="1"/>
  <c r="AX175" i="3"/>
  <c r="BR175" i="3"/>
  <c r="AA281" i="33" s="1"/>
  <c r="AB281" i="33" s="1"/>
  <c r="AC281" i="33" s="1"/>
  <c r="AV175" i="3"/>
  <c r="BH175" i="3"/>
  <c r="T281" i="33" s="1"/>
  <c r="U281" i="33" s="1"/>
  <c r="V281" i="33" s="1"/>
  <c r="BL175" i="3"/>
  <c r="BB175" i="3"/>
  <c r="BM175" i="3"/>
  <c r="CE175" i="3"/>
  <c r="AV37" i="3"/>
  <c r="CH175" i="3" l="1"/>
  <c r="BG175" i="3"/>
  <c r="CJ37" i="3"/>
  <c r="BQ37" i="3"/>
  <c r="X55" i="33" s="1"/>
  <c r="CF175" i="3"/>
  <c r="AW175" i="3"/>
  <c r="CF37" i="3"/>
  <c r="K55" i="33" s="1"/>
  <c r="L55" i="33" s="1"/>
  <c r="AW37" i="3"/>
  <c r="J55" i="33" s="1"/>
  <c r="CA175" i="3"/>
  <c r="BQ175" i="3"/>
  <c r="CJ175" i="3"/>
  <c r="BX11" i="27" l="1"/>
  <c r="BV11" i="27"/>
  <c r="BT11" i="27"/>
  <c r="AH133" i="33"/>
  <c r="AI133" i="33" s="1"/>
  <c r="BM11" i="27"/>
  <c r="AF133" i="33" s="1"/>
  <c r="AG133" i="33" s="1"/>
  <c r="AA133" i="33"/>
  <c r="AB133" i="33" s="1"/>
  <c r="AC133" i="33" s="1"/>
  <c r="BC11" i="27"/>
  <c r="Y133" i="33" s="1"/>
  <c r="Z133" i="33" s="1"/>
  <c r="BC9" i="27"/>
  <c r="T133" i="33"/>
  <c r="U133" i="33" s="1"/>
  <c r="V133" i="33" s="1"/>
  <c r="AQ11" i="27"/>
  <c r="AI11" i="27"/>
  <c r="AG9" i="27"/>
  <c r="AU9" i="27" s="1"/>
  <c r="BG19" i="3"/>
  <c r="AK9" i="27" l="1"/>
  <c r="BD29" i="3"/>
  <c r="BH13" i="3"/>
  <c r="BH12" i="3"/>
  <c r="BF13" i="3"/>
  <c r="BF12" i="3"/>
  <c r="BD40" i="3" l="1"/>
  <c r="BD39" i="3"/>
  <c r="BD38" i="3"/>
  <c r="BD34" i="3"/>
  <c r="BD33" i="3"/>
  <c r="BD32" i="3"/>
  <c r="BD31" i="3"/>
  <c r="BD30" i="3"/>
  <c r="BD27" i="3"/>
  <c r="BD26" i="3"/>
  <c r="BD25" i="3"/>
  <c r="BD23" i="3"/>
  <c r="BD22" i="3"/>
  <c r="AQ13" i="29" l="1"/>
  <c r="AQ20" i="27" l="1"/>
  <c r="AQ19" i="27"/>
  <c r="AQ18" i="27"/>
  <c r="AQ17" i="27"/>
  <c r="AQ14" i="27"/>
  <c r="AQ12" i="27"/>
  <c r="BE9" i="27"/>
  <c r="BD163" i="3" l="1"/>
  <c r="BD20" i="3"/>
  <c r="BD19" i="3"/>
  <c r="AQ31" i="27" l="1"/>
  <c r="AQ30" i="27"/>
  <c r="AQ19" i="29" l="1"/>
  <c r="AR25" i="27" l="1"/>
  <c r="AQ25" i="27"/>
  <c r="AR21" i="27"/>
  <c r="AQ24" i="27"/>
  <c r="AQ22" i="27"/>
  <c r="AQ21" i="27"/>
  <c r="BD173" i="3" l="1"/>
  <c r="BD172" i="3"/>
  <c r="BD132" i="3"/>
  <c r="BD127" i="3"/>
  <c r="BD126" i="3"/>
  <c r="BD125" i="3"/>
  <c r="BD122" i="3"/>
  <c r="BE56" i="3"/>
  <c r="BD68" i="3"/>
  <c r="AE299" i="33" l="1"/>
  <c r="X299" i="33"/>
  <c r="Q299" i="33"/>
  <c r="J299" i="33"/>
  <c r="H299" i="33"/>
  <c r="CK156" i="3"/>
  <c r="AF299" i="33" s="1"/>
  <c r="AG299" i="33" s="1"/>
  <c r="CI156" i="3"/>
  <c r="Y299" i="33" s="1"/>
  <c r="CG156" i="3"/>
  <c r="R299" i="33" s="1"/>
  <c r="CE156" i="3"/>
  <c r="K299" i="33" s="1"/>
  <c r="CB156" i="3"/>
  <c r="AH299" i="33" s="1"/>
  <c r="AI299" i="33" s="1"/>
  <c r="BZ156" i="3"/>
  <c r="BR156" i="3"/>
  <c r="AA299" i="33" s="1"/>
  <c r="AB299" i="33" s="1"/>
  <c r="BP156" i="3"/>
  <c r="BH156" i="3"/>
  <c r="T299" i="33" s="1"/>
  <c r="U299" i="33" s="1"/>
  <c r="BF156" i="3"/>
  <c r="AX156" i="3"/>
  <c r="M299" i="33" s="1"/>
  <c r="N299" i="33" s="1"/>
  <c r="AV156" i="3"/>
  <c r="Z124" i="3" l="1"/>
  <c r="G345" i="33"/>
  <c r="H347" i="33"/>
  <c r="G346" i="33"/>
  <c r="G347" i="33"/>
  <c r="AC347" i="33"/>
  <c r="V347" i="33"/>
  <c r="J347" i="33"/>
  <c r="G115" i="33"/>
  <c r="G114" i="33"/>
  <c r="G116" i="33"/>
  <c r="AO94" i="3"/>
  <c r="BC94" i="3" s="1"/>
  <c r="AC120" i="33"/>
  <c r="V120" i="33"/>
  <c r="AC119" i="33"/>
  <c r="V119" i="33"/>
  <c r="AC350" i="33"/>
  <c r="V350" i="33"/>
  <c r="AC349" i="33"/>
  <c r="V349" i="33"/>
  <c r="G316" i="33"/>
  <c r="G315" i="33"/>
  <c r="G314" i="33"/>
  <c r="AC92" i="33"/>
  <c r="V92" i="33"/>
  <c r="AC88" i="33"/>
  <c r="V88" i="33"/>
  <c r="AO80" i="3"/>
  <c r="BW80" i="3" s="1"/>
  <c r="AN80" i="3"/>
  <c r="AN86" i="3"/>
  <c r="BL86" i="3" s="1"/>
  <c r="CL188" i="3"/>
  <c r="CK188" i="3"/>
  <c r="AF351" i="33" s="1"/>
  <c r="CJ188" i="3"/>
  <c r="CI188" i="3"/>
  <c r="Y351" i="33" s="1"/>
  <c r="Z351" i="33" s="1"/>
  <c r="CH188" i="3"/>
  <c r="CG188" i="3"/>
  <c r="R351" i="33" s="1"/>
  <c r="CF188" i="3"/>
  <c r="CE188" i="3"/>
  <c r="K351" i="33" s="1"/>
  <c r="CB188" i="3"/>
  <c r="AH351" i="33" s="1"/>
  <c r="AI351" i="33" s="1"/>
  <c r="BZ188" i="3"/>
  <c r="BR188" i="3"/>
  <c r="AA351" i="33" s="1"/>
  <c r="AB351" i="33" s="1"/>
  <c r="AC351" i="33" s="1"/>
  <c r="BQ188" i="3"/>
  <c r="BP188" i="3"/>
  <c r="BH188" i="3"/>
  <c r="T351" i="33" s="1"/>
  <c r="U351" i="33" s="1"/>
  <c r="BG188" i="3"/>
  <c r="BF188" i="3"/>
  <c r="AX188" i="3"/>
  <c r="M351" i="33" s="1"/>
  <c r="N351" i="33" s="1"/>
  <c r="AW188" i="3"/>
  <c r="AV188" i="3"/>
  <c r="AO188" i="3"/>
  <c r="BS188" i="3" s="1"/>
  <c r="AN188" i="3"/>
  <c r="BV188" i="3" s="1"/>
  <c r="BM94" i="3" l="1"/>
  <c r="BC80" i="3"/>
  <c r="BM80" i="3"/>
  <c r="BW94" i="3"/>
  <c r="AR188" i="3"/>
  <c r="AR86" i="3"/>
  <c r="BI188" i="3"/>
  <c r="BV86" i="3"/>
  <c r="BB188" i="3"/>
  <c r="BL188" i="3"/>
  <c r="AY188" i="3"/>
  <c r="BB86" i="3"/>
  <c r="CM188" i="3" l="1"/>
  <c r="AC264" i="33"/>
  <c r="V264" i="33"/>
  <c r="BH28" i="3"/>
  <c r="T222" i="33" s="1"/>
  <c r="U222" i="33" s="1"/>
  <c r="V222" i="33" s="1"/>
  <c r="BF28" i="3"/>
  <c r="G30" i="33"/>
  <c r="AE153" i="33"/>
  <c r="X153" i="33"/>
  <c r="Q153" i="33"/>
  <c r="J153" i="33"/>
  <c r="H153" i="33"/>
  <c r="G153" i="33"/>
  <c r="BX21" i="29"/>
  <c r="AF153" i="33" s="1"/>
  <c r="AG153" i="33" s="1"/>
  <c r="BV21" i="29"/>
  <c r="Y153" i="33" s="1"/>
  <c r="BT21" i="29"/>
  <c r="R153" i="33" s="1"/>
  <c r="BR21" i="29"/>
  <c r="K153" i="33" s="1"/>
  <c r="BO21" i="29"/>
  <c r="AH153" i="33" s="1"/>
  <c r="AI153" i="33" s="1"/>
  <c r="BM21" i="29"/>
  <c r="BE21" i="29"/>
  <c r="AA153" i="33" s="1"/>
  <c r="AB153" i="33" s="1"/>
  <c r="BC21" i="29"/>
  <c r="AU21" i="29"/>
  <c r="T153" i="33" s="1"/>
  <c r="U153" i="33" s="1"/>
  <c r="AS21" i="29"/>
  <c r="AK21" i="29"/>
  <c r="M153" i="33" s="1"/>
  <c r="N153" i="33" s="1"/>
  <c r="AI21" i="29"/>
  <c r="AB21" i="29"/>
  <c r="BP21" i="29" s="1"/>
  <c r="AH30" i="33" s="1"/>
  <c r="AI30" i="33" s="1"/>
  <c r="AA21" i="29"/>
  <c r="AE21" i="29" s="1"/>
  <c r="AP21" i="29" l="1"/>
  <c r="AT21" i="29" s="1"/>
  <c r="Q30" i="33" s="1"/>
  <c r="AO21" i="29"/>
  <c r="BF21" i="29"/>
  <c r="AA30" i="33" s="1"/>
  <c r="AB30" i="33" s="1"/>
  <c r="AC30" i="33" s="1"/>
  <c r="BI21" i="29"/>
  <c r="AF21" i="29"/>
  <c r="AJ21" i="29" s="1"/>
  <c r="J30" i="33" s="1"/>
  <c r="BJ21" i="29"/>
  <c r="BY21" i="29" s="1"/>
  <c r="AF30" i="33" s="1"/>
  <c r="AG30" i="33" s="1"/>
  <c r="AY21" i="29"/>
  <c r="AZ21" i="29"/>
  <c r="AV21" i="29"/>
  <c r="T30" i="33" s="1"/>
  <c r="U30" i="33" s="1"/>
  <c r="V30" i="33" s="1"/>
  <c r="AL21" i="29"/>
  <c r="M30" i="33" s="1"/>
  <c r="N30" i="33" s="1"/>
  <c r="O30" i="33" s="1"/>
  <c r="AE202" i="33"/>
  <c r="X202" i="33"/>
  <c r="Q202" i="33"/>
  <c r="J202" i="33"/>
  <c r="H202" i="33"/>
  <c r="G202" i="33"/>
  <c r="CK187" i="3"/>
  <c r="AF202" i="33" s="1"/>
  <c r="AG202" i="33" s="1"/>
  <c r="CI187" i="3"/>
  <c r="Y202" i="33" s="1"/>
  <c r="CG187" i="3"/>
  <c r="R202" i="33" s="1"/>
  <c r="CE187" i="3"/>
  <c r="K202" i="33" s="1"/>
  <c r="CB187" i="3"/>
  <c r="AH202" i="33" s="1"/>
  <c r="AI202" i="33" s="1"/>
  <c r="BZ187" i="3"/>
  <c r="BR187" i="3"/>
  <c r="AA202" i="33" s="1"/>
  <c r="AB202" i="33" s="1"/>
  <c r="BP187" i="3"/>
  <c r="BH187" i="3"/>
  <c r="T202" i="33" s="1"/>
  <c r="U202" i="33" s="1"/>
  <c r="BF187" i="3"/>
  <c r="AX187" i="3"/>
  <c r="M202" i="33" s="1"/>
  <c r="N202" i="33" s="1"/>
  <c r="AV187" i="3"/>
  <c r="AO187" i="3"/>
  <c r="BM187" i="3" s="1"/>
  <c r="AN187" i="3"/>
  <c r="BV187" i="3" s="1"/>
  <c r="AE135" i="33"/>
  <c r="X135" i="33"/>
  <c r="Q135" i="33"/>
  <c r="J135" i="33"/>
  <c r="H135" i="33"/>
  <c r="BX13" i="27"/>
  <c r="BV13" i="27"/>
  <c r="BT13" i="27"/>
  <c r="R135" i="33" s="1"/>
  <c r="S135" i="33" s="1"/>
  <c r="BR13" i="27"/>
  <c r="BM13" i="27"/>
  <c r="AF135" i="33" s="1"/>
  <c r="AG135" i="33" s="1"/>
  <c r="AA135" i="33"/>
  <c r="AB135" i="33" s="1"/>
  <c r="AC135" i="33" s="1"/>
  <c r="BC13" i="27"/>
  <c r="Y135" i="33" s="1"/>
  <c r="Z135" i="33" s="1"/>
  <c r="AS13" i="27"/>
  <c r="AH135" i="33"/>
  <c r="AI135" i="33" s="1"/>
  <c r="AA13" i="27"/>
  <c r="BI13" i="27" s="1"/>
  <c r="AE238" i="33"/>
  <c r="X238" i="33"/>
  <c r="Q238" i="33"/>
  <c r="J238" i="33"/>
  <c r="H238" i="33"/>
  <c r="G238" i="33"/>
  <c r="AE237" i="33"/>
  <c r="X237" i="33"/>
  <c r="Q237" i="33"/>
  <c r="J237" i="33"/>
  <c r="H237" i="33"/>
  <c r="G237" i="33"/>
  <c r="CK186" i="3"/>
  <c r="AF238" i="33" s="1"/>
  <c r="CI186" i="3"/>
  <c r="Y238" i="33" s="1"/>
  <c r="Z238" i="33" s="1"/>
  <c r="CG186" i="3"/>
  <c r="R238" i="33" s="1"/>
  <c r="CE186" i="3"/>
  <c r="K238" i="33" s="1"/>
  <c r="CB186" i="3"/>
  <c r="AH238" i="33" s="1"/>
  <c r="AI238" i="33" s="1"/>
  <c r="BZ186" i="3"/>
  <c r="BR186" i="3"/>
  <c r="AA238" i="33" s="1"/>
  <c r="AB238" i="33" s="1"/>
  <c r="AC238" i="33" s="1"/>
  <c r="BP186" i="3"/>
  <c r="BH186" i="3"/>
  <c r="T238" i="33" s="1"/>
  <c r="U238" i="33" s="1"/>
  <c r="BF186" i="3"/>
  <c r="AX186" i="3"/>
  <c r="AV186" i="3"/>
  <c r="AO186" i="3"/>
  <c r="BC186" i="3" s="1"/>
  <c r="AN186" i="3"/>
  <c r="BL186" i="3" s="1"/>
  <c r="AE167" i="33"/>
  <c r="X167" i="33"/>
  <c r="Q167" i="33"/>
  <c r="J167" i="33"/>
  <c r="H167" i="33"/>
  <c r="G167" i="33"/>
  <c r="CK184" i="3"/>
  <c r="AF167" i="33" s="1"/>
  <c r="AG167" i="33" s="1"/>
  <c r="CI184" i="3"/>
  <c r="Y167" i="33" s="1"/>
  <c r="CG184" i="3"/>
  <c r="R167" i="33" s="1"/>
  <c r="S167" i="33" s="1"/>
  <c r="CE184" i="3"/>
  <c r="K167" i="33" s="1"/>
  <c r="CC184" i="3"/>
  <c r="CB184" i="3"/>
  <c r="AH167" i="33" s="1"/>
  <c r="AI167" i="33" s="1"/>
  <c r="BZ184" i="3"/>
  <c r="BW184" i="3"/>
  <c r="CL184" i="3" s="1"/>
  <c r="BV184" i="3"/>
  <c r="BS184" i="3"/>
  <c r="BR184" i="3"/>
  <c r="AA167" i="33" s="1"/>
  <c r="AB167" i="33" s="1"/>
  <c r="BP184" i="3"/>
  <c r="BM184" i="3"/>
  <c r="BQ184" i="3" s="1"/>
  <c r="BL184" i="3"/>
  <c r="BI184" i="3"/>
  <c r="BH184" i="3"/>
  <c r="T167" i="33" s="1"/>
  <c r="U167" i="33" s="1"/>
  <c r="V167" i="33" s="1"/>
  <c r="BF184" i="3"/>
  <c r="BC184" i="3"/>
  <c r="BG184" i="3" s="1"/>
  <c r="BB184" i="3"/>
  <c r="AY184" i="3"/>
  <c r="AX184" i="3"/>
  <c r="M167" i="33" s="1"/>
  <c r="N167" i="33" s="1"/>
  <c r="AV184" i="3"/>
  <c r="AS184" i="3"/>
  <c r="AR184" i="3"/>
  <c r="CK185" i="3"/>
  <c r="AF237" i="33" s="1"/>
  <c r="AG237" i="33" s="1"/>
  <c r="CI185" i="3"/>
  <c r="Y237" i="33" s="1"/>
  <c r="CG185" i="3"/>
  <c r="R237" i="33" s="1"/>
  <c r="CE185" i="3"/>
  <c r="K237" i="33" s="1"/>
  <c r="CB185" i="3"/>
  <c r="AH237" i="33" s="1"/>
  <c r="AI237" i="33" s="1"/>
  <c r="BZ185" i="3"/>
  <c r="BR185" i="3"/>
  <c r="AA237" i="33" s="1"/>
  <c r="AB237" i="33" s="1"/>
  <c r="BP185" i="3"/>
  <c r="BH185" i="3"/>
  <c r="T237" i="33" s="1"/>
  <c r="U237" i="33" s="1"/>
  <c r="BF185" i="3"/>
  <c r="AX185" i="3"/>
  <c r="AV185" i="3"/>
  <c r="AO185" i="3"/>
  <c r="BM185" i="3" s="1"/>
  <c r="AN185" i="3"/>
  <c r="BV185" i="3" s="1"/>
  <c r="AE166" i="33"/>
  <c r="X166" i="33"/>
  <c r="Q166" i="33"/>
  <c r="AV183" i="3"/>
  <c r="J166" i="33"/>
  <c r="H166" i="33"/>
  <c r="G166" i="33"/>
  <c r="AE174" i="33"/>
  <c r="X174" i="33"/>
  <c r="Q174" i="33"/>
  <c r="J174" i="33"/>
  <c r="H174" i="33"/>
  <c r="CK183" i="3"/>
  <c r="AF166" i="33" s="1"/>
  <c r="AG166" i="33" s="1"/>
  <c r="CI183" i="3"/>
  <c r="Y166" i="33" s="1"/>
  <c r="CG183" i="3"/>
  <c r="R166" i="33" s="1"/>
  <c r="CE183" i="3"/>
  <c r="K166" i="33" s="1"/>
  <c r="CB183" i="3"/>
  <c r="AH166" i="33" s="1"/>
  <c r="AI166" i="33" s="1"/>
  <c r="BZ183" i="3"/>
  <c r="BR183" i="3"/>
  <c r="AA166" i="33" s="1"/>
  <c r="AB166" i="33" s="1"/>
  <c r="BP183" i="3"/>
  <c r="BH183" i="3"/>
  <c r="T166" i="33" s="1"/>
  <c r="U166" i="33" s="1"/>
  <c r="BF183" i="3"/>
  <c r="AX183" i="3"/>
  <c r="M166" i="33" s="1"/>
  <c r="N166" i="33" s="1"/>
  <c r="AO183" i="3"/>
  <c r="BC183" i="3" s="1"/>
  <c r="CH183" i="3" s="1"/>
  <c r="AN183" i="3"/>
  <c r="BV183" i="3" s="1"/>
  <c r="BU21" i="29" l="1"/>
  <c r="R30" i="33" s="1"/>
  <c r="S30" i="33" s="1"/>
  <c r="BN21" i="29"/>
  <c r="AE30" i="33" s="1"/>
  <c r="BW21" i="29"/>
  <c r="Y30" i="33" s="1"/>
  <c r="Z30" i="33" s="1"/>
  <c r="BD21" i="29"/>
  <c r="X30" i="33" s="1"/>
  <c r="BS21" i="29"/>
  <c r="K30" i="33" s="1"/>
  <c r="L30" i="33" s="1"/>
  <c r="AE13" i="27"/>
  <c r="AO13" i="27"/>
  <c r="AY13" i="27"/>
  <c r="BI183" i="3"/>
  <c r="AY187" i="3"/>
  <c r="BL185" i="3"/>
  <c r="AY183" i="3"/>
  <c r="BL187" i="3"/>
  <c r="CJ187" i="3"/>
  <c r="BQ187" i="3"/>
  <c r="BS183" i="3"/>
  <c r="BB187" i="3"/>
  <c r="CC187" i="3"/>
  <c r="BW183" i="3"/>
  <c r="CA183" i="3" s="1"/>
  <c r="BC187" i="3"/>
  <c r="CH187" i="3" s="1"/>
  <c r="BS187" i="3"/>
  <c r="AR187" i="3"/>
  <c r="CC183" i="3"/>
  <c r="AY185" i="3"/>
  <c r="CC185" i="3"/>
  <c r="AS187" i="3"/>
  <c r="BI187" i="3"/>
  <c r="BW187" i="3"/>
  <c r="BB186" i="3"/>
  <c r="CH186" i="3"/>
  <c r="BG186" i="3"/>
  <c r="CJ185" i="3"/>
  <c r="BQ185" i="3"/>
  <c r="AS183" i="3"/>
  <c r="BL183" i="3"/>
  <c r="BB185" i="3"/>
  <c r="AR186" i="3"/>
  <c r="BS186" i="3"/>
  <c r="AR183" i="3"/>
  <c r="CA184" i="3"/>
  <c r="BM183" i="3"/>
  <c r="BC185" i="3"/>
  <c r="CH185" i="3" s="1"/>
  <c r="AS186" i="3"/>
  <c r="AW186" i="3" s="1"/>
  <c r="BV186" i="3"/>
  <c r="BW186" i="3"/>
  <c r="CL186" i="3" s="1"/>
  <c r="AR185" i="3"/>
  <c r="BS185" i="3"/>
  <c r="BI186" i="3"/>
  <c r="BB183" i="3"/>
  <c r="AS185" i="3"/>
  <c r="AW185" i="3" s="1"/>
  <c r="BI185" i="3"/>
  <c r="BW185" i="3"/>
  <c r="AY186" i="3"/>
  <c r="BM186" i="3"/>
  <c r="CC186" i="3"/>
  <c r="CM184" i="3"/>
  <c r="AI13" i="27"/>
  <c r="T135" i="33"/>
  <c r="U135" i="33" s="1"/>
  <c r="V135" i="33" s="1"/>
  <c r="AK13" i="27"/>
  <c r="CF184" i="3"/>
  <c r="AW184" i="3"/>
  <c r="CH184" i="3"/>
  <c r="CJ184" i="3"/>
  <c r="BG183" i="3"/>
  <c r="CK169" i="3"/>
  <c r="AF174" i="33" s="1"/>
  <c r="CI169" i="3"/>
  <c r="Y174" i="33" s="1"/>
  <c r="Z174" i="33" s="1"/>
  <c r="CG169" i="3"/>
  <c r="R174" i="33" s="1"/>
  <c r="CE169" i="3"/>
  <c r="K174" i="33" s="1"/>
  <c r="CB169" i="3"/>
  <c r="AH174" i="33" s="1"/>
  <c r="AI174" i="33" s="1"/>
  <c r="BZ169" i="3"/>
  <c r="BR169" i="3"/>
  <c r="AA174" i="33" s="1"/>
  <c r="AB174" i="33" s="1"/>
  <c r="AC174" i="33" s="1"/>
  <c r="BP169" i="3"/>
  <c r="BH169" i="3"/>
  <c r="T174" i="33" s="1"/>
  <c r="U174" i="33" s="1"/>
  <c r="BF169" i="3"/>
  <c r="AX169" i="3"/>
  <c r="M174" i="33" s="1"/>
  <c r="N174" i="33" s="1"/>
  <c r="AV169" i="3"/>
  <c r="AO169" i="3"/>
  <c r="BW169" i="3" s="1"/>
  <c r="CL169" i="3" s="1"/>
  <c r="AN169" i="3"/>
  <c r="AR169" i="3" s="1"/>
  <c r="AE172" i="33"/>
  <c r="X172" i="33"/>
  <c r="Q172" i="33"/>
  <c r="J172" i="33"/>
  <c r="H172" i="33"/>
  <c r="CL167" i="3"/>
  <c r="AF64" i="33" s="1"/>
  <c r="CK167" i="3"/>
  <c r="AF172" i="33" s="1"/>
  <c r="CI167" i="3"/>
  <c r="Y172" i="33" s="1"/>
  <c r="Z172" i="33" s="1"/>
  <c r="CG167" i="3"/>
  <c r="R172" i="33" s="1"/>
  <c r="CE167" i="3"/>
  <c r="K172" i="33" s="1"/>
  <c r="CB167" i="3"/>
  <c r="AH172" i="33" s="1"/>
  <c r="AI172" i="33" s="1"/>
  <c r="CA167" i="3"/>
  <c r="AE64" i="33" s="1"/>
  <c r="BZ167" i="3"/>
  <c r="BR167" i="3"/>
  <c r="AA172" i="33" s="1"/>
  <c r="AB172" i="33" s="1"/>
  <c r="AC172" i="33" s="1"/>
  <c r="BP167" i="3"/>
  <c r="BH167" i="3"/>
  <c r="T172" i="33" s="1"/>
  <c r="U172" i="33" s="1"/>
  <c r="BF167" i="3"/>
  <c r="AX167" i="3"/>
  <c r="M172" i="33" s="1"/>
  <c r="N172" i="33" s="1"/>
  <c r="AV167" i="3"/>
  <c r="AW167" i="3"/>
  <c r="J64" i="33" s="1"/>
  <c r="AO167" i="3"/>
  <c r="BM167" i="3" s="1"/>
  <c r="CM167" i="3" s="1"/>
  <c r="AN167" i="3"/>
  <c r="BL167" i="3" s="1"/>
  <c r="CF186" i="3" l="1"/>
  <c r="AR167" i="3"/>
  <c r="CF185" i="3"/>
  <c r="CM183" i="3"/>
  <c r="CM187" i="3"/>
  <c r="CA187" i="3"/>
  <c r="CL187" i="3"/>
  <c r="CF183" i="3"/>
  <c r="CL183" i="3"/>
  <c r="AW183" i="3"/>
  <c r="AW187" i="3"/>
  <c r="CF187" i="3"/>
  <c r="BG185" i="3"/>
  <c r="BG187" i="3"/>
  <c r="CA185" i="3"/>
  <c r="CL185" i="3"/>
  <c r="CJ183" i="3"/>
  <c r="BQ183" i="3"/>
  <c r="BB167" i="3"/>
  <c r="BI169" i="3"/>
  <c r="CJ186" i="3"/>
  <c r="BQ186" i="3"/>
  <c r="CA186" i="3"/>
  <c r="CC167" i="3"/>
  <c r="AH64" i="33" s="1"/>
  <c r="AI64" i="33" s="1"/>
  <c r="AS169" i="3"/>
  <c r="AW169" i="3" s="1"/>
  <c r="BI167" i="3"/>
  <c r="T64" i="33" s="1"/>
  <c r="U64" i="33" s="1"/>
  <c r="BC169" i="3"/>
  <c r="CH169" i="3" s="1"/>
  <c r="BV167" i="3"/>
  <c r="BV169" i="3"/>
  <c r="BL169" i="3"/>
  <c r="AY169" i="3"/>
  <c r="BM169" i="3"/>
  <c r="AY167" i="3"/>
  <c r="BS167" i="3"/>
  <c r="AA64" i="33" s="1"/>
  <c r="AB64" i="33" s="1"/>
  <c r="AC64" i="33" s="1"/>
  <c r="BB169" i="3"/>
  <c r="CC169" i="3"/>
  <c r="BS169" i="3"/>
  <c r="CA169" i="3"/>
  <c r="BQ167" i="3"/>
  <c r="X64" i="33" s="1"/>
  <c r="CJ167" i="3"/>
  <c r="Y64" i="33" s="1"/>
  <c r="Z64" i="33" s="1"/>
  <c r="BG167" i="3"/>
  <c r="Q64" i="33" s="1"/>
  <c r="CF167" i="3"/>
  <c r="K64" i="33" s="1"/>
  <c r="CH167" i="3"/>
  <c r="R64" i="33" s="1"/>
  <c r="O11" i="34"/>
  <c r="BG169" i="3" l="1"/>
  <c r="CF169" i="3"/>
  <c r="CJ169" i="3"/>
  <c r="BQ169" i="3"/>
  <c r="AG17" i="29"/>
  <c r="AI17" i="29" s="1"/>
  <c r="G199" i="33" l="1"/>
  <c r="G198" i="33"/>
  <c r="G197" i="33"/>
  <c r="G196" i="33"/>
  <c r="G195" i="33"/>
  <c r="G194" i="33"/>
  <c r="G193" i="33"/>
  <c r="G190" i="33"/>
  <c r="G192" i="33"/>
  <c r="G191" i="33"/>
  <c r="G189" i="33"/>
  <c r="G188" i="33"/>
  <c r="G187" i="33"/>
  <c r="G186" i="33"/>
  <c r="G185" i="33"/>
  <c r="G184" i="33"/>
  <c r="G183" i="33"/>
  <c r="G182" i="33"/>
  <c r="G181" i="33"/>
  <c r="G180" i="33"/>
  <c r="G179" i="33"/>
  <c r="G177" i="33"/>
  <c r="G178" i="33"/>
  <c r="J39" i="33" l="1"/>
  <c r="J38" i="33"/>
  <c r="J37" i="33"/>
  <c r="G151" i="33" l="1"/>
  <c r="H181" i="33" l="1"/>
  <c r="AE181" i="33"/>
  <c r="X181" i="33"/>
  <c r="Q181" i="33"/>
  <c r="J181" i="33"/>
  <c r="AE180" i="33"/>
  <c r="X180" i="33"/>
  <c r="Q180" i="33"/>
  <c r="J180" i="33"/>
  <c r="H180" i="33"/>
  <c r="AE280" i="33"/>
  <c r="X280" i="33"/>
  <c r="Q280" i="33"/>
  <c r="J280" i="33"/>
  <c r="H280" i="33"/>
  <c r="G280" i="33"/>
  <c r="AT155" i="3" l="1"/>
  <c r="CK30" i="3" l="1"/>
  <c r="CI30" i="3"/>
  <c r="CG30" i="3"/>
  <c r="AX28" i="3"/>
  <c r="M222" i="33" s="1"/>
  <c r="N222" i="33" s="1"/>
  <c r="O222" i="33" s="1"/>
  <c r="AV28" i="3"/>
  <c r="AT26" i="3"/>
  <c r="AT22" i="3"/>
  <c r="AT41" i="3"/>
  <c r="AT40" i="3"/>
  <c r="AT39" i="3"/>
  <c r="AT35" i="3"/>
  <c r="AT34" i="3"/>
  <c r="AT33" i="3"/>
  <c r="AT32" i="3"/>
  <c r="AT31" i="3"/>
  <c r="AT30" i="3"/>
  <c r="CE30" i="3" s="1"/>
  <c r="AT29" i="3"/>
  <c r="AT27" i="3"/>
  <c r="AT23" i="3"/>
  <c r="AV30" i="3" l="1"/>
  <c r="AX30" i="3"/>
  <c r="AU56" i="3"/>
  <c r="AT137" i="3" l="1"/>
  <c r="AU134" i="3"/>
  <c r="AT134" i="3"/>
  <c r="G301" i="33" l="1"/>
  <c r="AE190" i="33"/>
  <c r="X190" i="33"/>
  <c r="Q190" i="33"/>
  <c r="J190" i="33"/>
  <c r="H190" i="33"/>
  <c r="AE192" i="33"/>
  <c r="X192" i="33"/>
  <c r="Q192" i="33"/>
  <c r="J192" i="33"/>
  <c r="H192" i="33"/>
  <c r="AE285" i="33"/>
  <c r="X285" i="33"/>
  <c r="Q285" i="33"/>
  <c r="J285" i="33"/>
  <c r="H285" i="33"/>
  <c r="G285" i="33"/>
  <c r="AX154" i="3"/>
  <c r="AV154" i="3"/>
  <c r="AV153" i="3"/>
  <c r="AV50" i="3"/>
  <c r="AX46" i="3"/>
  <c r="AT17" i="3"/>
  <c r="CE17" i="3" s="1"/>
  <c r="AX13" i="3"/>
  <c r="AX12" i="3"/>
  <c r="AV13" i="3"/>
  <c r="AV12" i="3"/>
  <c r="AG11" i="29"/>
  <c r="AI11" i="29" s="1"/>
  <c r="G9" i="35"/>
  <c r="BR11" i="29" l="1"/>
  <c r="E9" i="35"/>
  <c r="H9" i="35"/>
  <c r="D9" i="35"/>
  <c r="F9" i="35"/>
  <c r="G28" i="33"/>
  <c r="P31" i="27"/>
  <c r="AB31" i="27" s="1"/>
  <c r="BJ31" i="27" s="1"/>
  <c r="P30" i="27"/>
  <c r="AP31" i="27" l="1"/>
  <c r="AZ31" i="27"/>
  <c r="AF31" i="27"/>
  <c r="AT179" i="3"/>
  <c r="AT163" i="3"/>
  <c r="AT19" i="3"/>
  <c r="AG31" i="27" l="1"/>
  <c r="AG30" i="27"/>
  <c r="AG29" i="27"/>
  <c r="AG28" i="27"/>
  <c r="AG26" i="27"/>
  <c r="AG13" i="29" l="1"/>
  <c r="AT174" i="3" l="1"/>
  <c r="AT173" i="3"/>
  <c r="AT172" i="3"/>
  <c r="AG19" i="29" l="1"/>
  <c r="AG18" i="29"/>
  <c r="AG20" i="27" l="1"/>
  <c r="AG19" i="27"/>
  <c r="AG18" i="27"/>
  <c r="AG14" i="27"/>
  <c r="BR12" i="27" l="1"/>
  <c r="AI12" i="27"/>
  <c r="AH25" i="27"/>
  <c r="AG25" i="27"/>
  <c r="AG24" i="27"/>
  <c r="AK24" i="27" s="1"/>
  <c r="AG22" i="27"/>
  <c r="AK22" i="27" s="1"/>
  <c r="AH21" i="27"/>
  <c r="AG21" i="27"/>
  <c r="AK21" i="27" s="1"/>
  <c r="E6" i="32" l="1"/>
  <c r="AS50" i="3" l="1"/>
  <c r="CK13" i="3" l="1"/>
  <c r="CK12" i="3"/>
  <c r="CI13" i="3"/>
  <c r="CI12" i="3"/>
  <c r="CG13" i="3"/>
  <c r="CG12" i="3"/>
  <c r="CE13" i="3"/>
  <c r="CE12" i="3"/>
  <c r="AV158" i="3" l="1"/>
  <c r="AO181" i="3" l="1"/>
  <c r="AO182" i="3"/>
  <c r="CL182" i="3" l="1"/>
  <c r="CL181" i="3"/>
  <c r="CJ182" i="3"/>
  <c r="CJ181" i="3"/>
  <c r="CH182" i="3"/>
  <c r="CH181" i="3"/>
  <c r="CF182" i="3"/>
  <c r="CF181" i="3"/>
  <c r="CL180" i="3"/>
  <c r="CJ180" i="3"/>
  <c r="CH180" i="3"/>
  <c r="CF180" i="3"/>
  <c r="CC180" i="3" l="1"/>
  <c r="CA180" i="3"/>
  <c r="BI182" i="3"/>
  <c r="BI181" i="3"/>
  <c r="BG182" i="3"/>
  <c r="BG181" i="3"/>
  <c r="BS182" i="3"/>
  <c r="BS181" i="3"/>
  <c r="BQ182" i="3"/>
  <c r="BQ181" i="3"/>
  <c r="BQ180" i="3"/>
  <c r="BG180" i="3"/>
  <c r="AY182" i="3"/>
  <c r="AY181" i="3"/>
  <c r="AW182" i="3"/>
  <c r="AW181" i="3"/>
  <c r="AW180" i="3"/>
  <c r="BP180" i="3"/>
  <c r="AN182" i="3"/>
  <c r="BV182" i="3" s="1"/>
  <c r="AN181" i="3"/>
  <c r="BL181" i="3" s="1"/>
  <c r="CM180" i="3"/>
  <c r="CK180" i="3"/>
  <c r="CI180" i="3"/>
  <c r="CG180" i="3"/>
  <c r="CE180" i="3"/>
  <c r="BZ180" i="3"/>
  <c r="BF180" i="3"/>
  <c r="AV180" i="3"/>
  <c r="CM182" i="3"/>
  <c r="CK182" i="3"/>
  <c r="CI182" i="3"/>
  <c r="CG182" i="3"/>
  <c r="CE182" i="3"/>
  <c r="BZ182" i="3"/>
  <c r="BP182" i="3"/>
  <c r="BF182" i="3"/>
  <c r="AV182" i="3"/>
  <c r="CM181" i="3"/>
  <c r="CK181" i="3"/>
  <c r="CI181" i="3"/>
  <c r="CG181" i="3"/>
  <c r="CE181" i="3"/>
  <c r="BZ181" i="3"/>
  <c r="BP181" i="3"/>
  <c r="BF181" i="3"/>
  <c r="AV181" i="3"/>
  <c r="AO180" i="3"/>
  <c r="AY180" i="3" s="1"/>
  <c r="AN180" i="3"/>
  <c r="BL180" i="3" s="1"/>
  <c r="AM181" i="3"/>
  <c r="CB181" i="3" s="1"/>
  <c r="AM182" i="3"/>
  <c r="CB182" i="3" s="1"/>
  <c r="AM180" i="3"/>
  <c r="CB180" i="3" s="1"/>
  <c r="R192" i="33" l="1"/>
  <c r="R180" i="33"/>
  <c r="K285" i="33"/>
  <c r="L285" i="33" s="1"/>
  <c r="K280" i="33"/>
  <c r="L280" i="33" s="1"/>
  <c r="Y192" i="33"/>
  <c r="Y180" i="33"/>
  <c r="R190" i="33"/>
  <c r="R181" i="33"/>
  <c r="R285" i="33"/>
  <c r="R280" i="33"/>
  <c r="AH285" i="33"/>
  <c r="AI285" i="33" s="1"/>
  <c r="AH280" i="33"/>
  <c r="AI280" i="33" s="1"/>
  <c r="Y285" i="33"/>
  <c r="Y280" i="33"/>
  <c r="AH190" i="33"/>
  <c r="AI190" i="33" s="1"/>
  <c r="AH181" i="33"/>
  <c r="AI181" i="33" s="1"/>
  <c r="K190" i="33"/>
  <c r="K181" i="33"/>
  <c r="AF192" i="33"/>
  <c r="AF180" i="33"/>
  <c r="AF285" i="33"/>
  <c r="AF280" i="33"/>
  <c r="AF190" i="33"/>
  <c r="AG190" i="33" s="1"/>
  <c r="AF181" i="33"/>
  <c r="AG181" i="33" s="1"/>
  <c r="K192" i="33"/>
  <c r="L192" i="33" s="1"/>
  <c r="K180" i="33"/>
  <c r="L180" i="33" s="1"/>
  <c r="AH192" i="33"/>
  <c r="AI192" i="33" s="1"/>
  <c r="AH180" i="33"/>
  <c r="AI180" i="33" s="1"/>
  <c r="Y190" i="33"/>
  <c r="Z190" i="33" s="1"/>
  <c r="Y181" i="33"/>
  <c r="Z181" i="33" s="1"/>
  <c r="AX181" i="3"/>
  <c r="BH181" i="3"/>
  <c r="AR180" i="3"/>
  <c r="BR180" i="3"/>
  <c r="BV180" i="3"/>
  <c r="AX180" i="3"/>
  <c r="BB180" i="3"/>
  <c r="BH182" i="3"/>
  <c r="BL182" i="3"/>
  <c r="BR182" i="3"/>
  <c r="BH180" i="3"/>
  <c r="BS180" i="3"/>
  <c r="AR181" i="3"/>
  <c r="BB182" i="3"/>
  <c r="BV181" i="3"/>
  <c r="AX182" i="3"/>
  <c r="AR182" i="3"/>
  <c r="BI180" i="3"/>
  <c r="BB181" i="3"/>
  <c r="BR181" i="3"/>
  <c r="AP12" i="38"/>
  <c r="AS12" i="38" s="1"/>
  <c r="AI15" i="38"/>
  <c r="AC17" i="38"/>
  <c r="AH17" i="38" s="1"/>
  <c r="AC15" i="38"/>
  <c r="V15" i="38"/>
  <c r="V12" i="38"/>
  <c r="P15" i="38"/>
  <c r="P12" i="38"/>
  <c r="S12" i="38" s="1"/>
  <c r="I17" i="38"/>
  <c r="I15" i="38"/>
  <c r="I12" i="38"/>
  <c r="C17" i="38"/>
  <c r="C15" i="38"/>
  <c r="C12" i="38"/>
  <c r="AA190" i="33" l="1"/>
  <c r="AB190" i="33" s="1"/>
  <c r="AC190" i="33" s="1"/>
  <c r="AA181" i="33"/>
  <c r="AB181" i="33" s="1"/>
  <c r="AC181" i="33" s="1"/>
  <c r="T190" i="33"/>
  <c r="U190" i="33" s="1"/>
  <c r="T181" i="33"/>
  <c r="U181" i="33" s="1"/>
  <c r="M285" i="33"/>
  <c r="N285" i="33" s="1"/>
  <c r="O285" i="33" s="1"/>
  <c r="M280" i="33"/>
  <c r="N280" i="33" s="1"/>
  <c r="O280" i="33" s="1"/>
  <c r="T285" i="33"/>
  <c r="U285" i="33" s="1"/>
  <c r="V285" i="33" s="1"/>
  <c r="T280" i="33"/>
  <c r="U280" i="33" s="1"/>
  <c r="V280" i="33" s="1"/>
  <c r="T192" i="33"/>
  <c r="U192" i="33" s="1"/>
  <c r="T180" i="33"/>
  <c r="U180" i="33" s="1"/>
  <c r="M192" i="33"/>
  <c r="N192" i="33" s="1"/>
  <c r="O192" i="33" s="1"/>
  <c r="M180" i="33"/>
  <c r="N180" i="33" s="1"/>
  <c r="O180" i="33" s="1"/>
  <c r="M190" i="33"/>
  <c r="N190" i="33" s="1"/>
  <c r="M181" i="33"/>
  <c r="N181" i="33" s="1"/>
  <c r="AA192" i="33"/>
  <c r="AB192" i="33" s="1"/>
  <c r="AA180" i="33"/>
  <c r="AB180" i="33" s="1"/>
  <c r="AA285" i="33"/>
  <c r="AB285" i="33" s="1"/>
  <c r="AC285" i="33" s="1"/>
  <c r="AA280" i="33"/>
  <c r="AB280" i="33" s="1"/>
  <c r="AC280"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AD17" i="38"/>
  <c r="AE17" i="38"/>
  <c r="AF17" i="38"/>
  <c r="AG17" i="38"/>
  <c r="Q12" i="38"/>
  <c r="AQ12" i="38"/>
  <c r="R12" i="38"/>
  <c r="AR12" i="38"/>
  <c r="AC9" i="35"/>
  <c r="BT12" i="27"/>
  <c r="BM12" i="27"/>
  <c r="BC12" i="27"/>
  <c r="AS12" i="27"/>
  <c r="AE230" i="33"/>
  <c r="X230" i="33"/>
  <c r="Q230" i="33"/>
  <c r="J230" i="33"/>
  <c r="AE229" i="33"/>
  <c r="X229" i="33"/>
  <c r="Q229" i="33"/>
  <c r="J229" i="33"/>
  <c r="AE228" i="33"/>
  <c r="X228" i="33"/>
  <c r="Q228" i="33"/>
  <c r="J228" i="33"/>
  <c r="AE226" i="33"/>
  <c r="X226" i="33"/>
  <c r="Q226" i="33"/>
  <c r="J226" i="33"/>
  <c r="AE225" i="33"/>
  <c r="X225" i="33"/>
  <c r="Q225" i="33"/>
  <c r="J225" i="33"/>
  <c r="AE224" i="33"/>
  <c r="X224" i="33"/>
  <c r="Q224" i="33"/>
  <c r="J224" i="33"/>
  <c r="AE223" i="33"/>
  <c r="X223" i="33"/>
  <c r="Q223" i="33"/>
  <c r="J223" i="33"/>
  <c r="Q222" i="33"/>
  <c r="J222" i="33"/>
  <c r="AE221" i="33"/>
  <c r="X221" i="33"/>
  <c r="Q221" i="33"/>
  <c r="J221" i="33"/>
  <c r="AE220" i="33"/>
  <c r="X220" i="33"/>
  <c r="Q220" i="33"/>
  <c r="J220" i="33"/>
  <c r="AE219" i="33"/>
  <c r="X219" i="33"/>
  <c r="Q219" i="33"/>
  <c r="J219" i="33"/>
  <c r="AE218" i="33"/>
  <c r="X218" i="33"/>
  <c r="Q218" i="33"/>
  <c r="J218" i="33"/>
  <c r="H230" i="33"/>
  <c r="H229" i="33"/>
  <c r="H228" i="33"/>
  <c r="H226" i="33"/>
  <c r="H225" i="33"/>
  <c r="H224" i="33"/>
  <c r="H223" i="33"/>
  <c r="H222" i="33"/>
  <c r="H221" i="33"/>
  <c r="H220" i="33"/>
  <c r="H219" i="33"/>
  <c r="H218" i="33"/>
  <c r="G230" i="33"/>
  <c r="G229" i="33"/>
  <c r="G228" i="33"/>
  <c r="G226" i="33"/>
  <c r="G225" i="33"/>
  <c r="G223" i="33"/>
  <c r="G222" i="33"/>
  <c r="G221" i="33"/>
  <c r="G220" i="33"/>
  <c r="G219" i="33"/>
  <c r="G218" i="33"/>
  <c r="AF9" i="35" l="1"/>
  <c r="AE9" i="35"/>
  <c r="AD9" i="35"/>
  <c r="AH9" i="35"/>
  <c r="AG9" i="35"/>
  <c r="R134" i="33"/>
  <c r="AE217" i="33"/>
  <c r="X217" i="33"/>
  <c r="Q217" i="33"/>
  <c r="J217" i="33"/>
  <c r="H217" i="33"/>
  <c r="G217" i="33"/>
  <c r="AE216" i="33"/>
  <c r="X216" i="33"/>
  <c r="Q216" i="33"/>
  <c r="J216" i="33"/>
  <c r="H216" i="33"/>
  <c r="G216" i="33"/>
  <c r="AE158" i="33"/>
  <c r="X158" i="33"/>
  <c r="Q158" i="33"/>
  <c r="J158" i="33"/>
  <c r="H158" i="33"/>
  <c r="G158" i="33"/>
  <c r="AE157" i="33"/>
  <c r="X157" i="33"/>
  <c r="Q157" i="33"/>
  <c r="J157" i="33"/>
  <c r="H157" i="33"/>
  <c r="G157" i="33"/>
  <c r="AE156" i="33"/>
  <c r="X156" i="33"/>
  <c r="Q156" i="33"/>
  <c r="J156" i="33"/>
  <c r="H156" i="33"/>
  <c r="G156" i="33"/>
  <c r="AE39" i="33"/>
  <c r="X39" i="33"/>
  <c r="Q39" i="33"/>
  <c r="G39" i="33"/>
  <c r="AE38" i="33"/>
  <c r="X38" i="33"/>
  <c r="Q38" i="33"/>
  <c r="G38" i="33"/>
  <c r="AE37" i="33"/>
  <c r="X37" i="33"/>
  <c r="Q37" i="33"/>
  <c r="G37" i="33"/>
  <c r="AE36" i="33"/>
  <c r="X36" i="33"/>
  <c r="Q36" i="33"/>
  <c r="J36" i="33"/>
  <c r="G36" i="33"/>
  <c r="I9" i="35"/>
  <c r="F29" i="37"/>
  <c r="N28" i="37"/>
  <c r="J28" i="37"/>
  <c r="J27" i="37"/>
  <c r="J29" i="37" s="1"/>
  <c r="J24" i="37"/>
  <c r="F24" i="37"/>
  <c r="C23" i="37"/>
  <c r="N22" i="37"/>
  <c r="N24" i="37" s="1"/>
  <c r="C22" i="37"/>
  <c r="J19" i="37"/>
  <c r="F19" i="37"/>
  <c r="C18" i="37"/>
  <c r="N17" i="37"/>
  <c r="N19" i="37" s="1"/>
  <c r="C17" i="37"/>
  <c r="AG15" i="35"/>
  <c r="N27" i="37" l="1"/>
  <c r="N29" i="37" s="1"/>
  <c r="K9" i="35"/>
  <c r="J9" i="35"/>
  <c r="N9" i="35"/>
  <c r="M9" i="35"/>
  <c r="L9" i="35"/>
  <c r="C24" i="37"/>
  <c r="C28" i="37"/>
  <c r="C27" i="37"/>
  <c r="C19" i="37"/>
  <c r="C29" i="37" l="1"/>
  <c r="AE301" i="33"/>
  <c r="X301" i="33"/>
  <c r="Q301" i="33"/>
  <c r="AE303" i="33"/>
  <c r="AE302" i="33"/>
  <c r="J301" i="33"/>
  <c r="H301" i="33"/>
  <c r="X303" i="33"/>
  <c r="Q303" i="33"/>
  <c r="J303" i="33"/>
  <c r="H303" i="33"/>
  <c r="G303" i="33"/>
  <c r="X302" i="33"/>
  <c r="Q302" i="33"/>
  <c r="J302" i="33"/>
  <c r="H302" i="33"/>
  <c r="G302" i="33"/>
  <c r="AE200" i="33"/>
  <c r="X200" i="33"/>
  <c r="Q200" i="33"/>
  <c r="J200" i="33"/>
  <c r="H200" i="33"/>
  <c r="G200" i="33"/>
  <c r="J201" i="33"/>
  <c r="H201" i="33"/>
  <c r="G201" i="33"/>
  <c r="AE250" i="33"/>
  <c r="X250" i="33"/>
  <c r="Q250" i="33"/>
  <c r="J250" i="33"/>
  <c r="H250" i="33"/>
  <c r="G250" i="33"/>
  <c r="AE199" i="33"/>
  <c r="X199" i="33"/>
  <c r="Q199" i="33"/>
  <c r="J199" i="33"/>
  <c r="H199" i="33"/>
  <c r="AE198" i="33"/>
  <c r="X198" i="33"/>
  <c r="Q198" i="33"/>
  <c r="J198" i="33"/>
  <c r="H198" i="33"/>
  <c r="AE197" i="33"/>
  <c r="X197" i="33"/>
  <c r="Q197" i="33"/>
  <c r="J197" i="33"/>
  <c r="H197" i="33"/>
  <c r="AE196" i="33"/>
  <c r="X196" i="33"/>
  <c r="Q196" i="33"/>
  <c r="J196" i="33"/>
  <c r="H196" i="33"/>
  <c r="AE195" i="33"/>
  <c r="X195" i="33"/>
  <c r="Q195" i="33"/>
  <c r="J195" i="33"/>
  <c r="H195" i="33"/>
  <c r="J300" i="33"/>
  <c r="H300" i="33"/>
  <c r="AE298" i="33"/>
  <c r="X298" i="33"/>
  <c r="Q298" i="33"/>
  <c r="J298" i="33"/>
  <c r="H298" i="33"/>
  <c r="G298" i="33"/>
  <c r="AE359" i="33"/>
  <c r="X359" i="33"/>
  <c r="Q359" i="33"/>
  <c r="J359" i="33"/>
  <c r="H359" i="33"/>
  <c r="G359" i="33"/>
  <c r="AE358" i="33"/>
  <c r="X358" i="33"/>
  <c r="Q358" i="33"/>
  <c r="J358" i="33"/>
  <c r="H358" i="33"/>
  <c r="G358" i="33"/>
  <c r="AE194" i="33"/>
  <c r="X194" i="33"/>
  <c r="Q194" i="33"/>
  <c r="J194" i="33"/>
  <c r="H194" i="33"/>
  <c r="AE297" i="33"/>
  <c r="X297" i="33"/>
  <c r="Q297" i="33"/>
  <c r="J297" i="33"/>
  <c r="H297" i="33"/>
  <c r="G297" i="33"/>
  <c r="G296" i="33"/>
  <c r="H296" i="33"/>
  <c r="AE355" i="33"/>
  <c r="X355" i="33"/>
  <c r="Q355" i="33"/>
  <c r="J355" i="33"/>
  <c r="H355" i="33"/>
  <c r="G355" i="33"/>
  <c r="AE354" i="33"/>
  <c r="X354" i="33"/>
  <c r="Q354" i="33"/>
  <c r="J354" i="33"/>
  <c r="H354" i="33"/>
  <c r="G354" i="33"/>
  <c r="AE353" i="33"/>
  <c r="X353" i="33"/>
  <c r="Q353" i="33"/>
  <c r="J353" i="33"/>
  <c r="H353" i="33"/>
  <c r="G353" i="33"/>
  <c r="AE290" i="33"/>
  <c r="X290" i="33"/>
  <c r="Q290" i="33"/>
  <c r="J290" i="33"/>
  <c r="H290" i="33"/>
  <c r="G290" i="33"/>
  <c r="AE289" i="33"/>
  <c r="X289" i="33"/>
  <c r="Q289" i="33"/>
  <c r="J289" i="33"/>
  <c r="H289" i="33"/>
  <c r="G289" i="33"/>
  <c r="AE288" i="33"/>
  <c r="X288" i="33"/>
  <c r="Q288" i="33"/>
  <c r="J288" i="33"/>
  <c r="H288" i="33"/>
  <c r="G288" i="33"/>
  <c r="AE287" i="33"/>
  <c r="X287" i="33"/>
  <c r="Q287" i="33"/>
  <c r="J287" i="33"/>
  <c r="H287" i="33"/>
  <c r="G287" i="33"/>
  <c r="G286" i="33"/>
  <c r="AE296" i="33"/>
  <c r="X296" i="33"/>
  <c r="Q296" i="33"/>
  <c r="J296" i="33"/>
  <c r="AE295" i="33"/>
  <c r="X295" i="33"/>
  <c r="Q295" i="33"/>
  <c r="J295" i="33"/>
  <c r="H295" i="33"/>
  <c r="G295" i="33"/>
  <c r="AE193" i="33"/>
  <c r="X193" i="33"/>
  <c r="Q193" i="33"/>
  <c r="J193" i="33"/>
  <c r="H193" i="33"/>
  <c r="AE294" i="33"/>
  <c r="X294" i="33"/>
  <c r="Q294" i="33"/>
  <c r="J294" i="33"/>
  <c r="H294" i="33"/>
  <c r="G294" i="33"/>
  <c r="AE292" i="33"/>
  <c r="X292" i="33"/>
  <c r="Q292" i="33"/>
  <c r="J292" i="33"/>
  <c r="H292" i="33"/>
  <c r="G292" i="33"/>
  <c r="AE293" i="33"/>
  <c r="X293" i="33"/>
  <c r="Q293" i="33"/>
  <c r="J293" i="33"/>
  <c r="H293" i="33"/>
  <c r="G293" i="33"/>
  <c r="AE291" i="33"/>
  <c r="X291" i="33"/>
  <c r="Q291" i="33"/>
  <c r="J291" i="33"/>
  <c r="H291" i="33"/>
  <c r="G291" i="33"/>
  <c r="AE286" i="33"/>
  <c r="X286" i="33"/>
  <c r="Q286" i="33"/>
  <c r="J286" i="33"/>
  <c r="H286" i="33"/>
  <c r="X284" i="33"/>
  <c r="Q284" i="33"/>
  <c r="J284" i="33"/>
  <c r="H284" i="33"/>
  <c r="G284" i="33"/>
  <c r="AE283" i="33"/>
  <c r="X283" i="33"/>
  <c r="Q283" i="33"/>
  <c r="J283" i="33"/>
  <c r="H283" i="33"/>
  <c r="G283" i="33"/>
  <c r="J191" i="33"/>
  <c r="H191" i="33"/>
  <c r="G129" i="33"/>
  <c r="G128" i="33"/>
  <c r="G127" i="33"/>
  <c r="G126" i="33"/>
  <c r="G125" i="33"/>
  <c r="G124" i="33"/>
  <c r="AE282" i="33"/>
  <c r="X282" i="33"/>
  <c r="Q282" i="33"/>
  <c r="J282" i="33"/>
  <c r="H282" i="33"/>
  <c r="G282" i="33"/>
  <c r="AE279" i="33"/>
  <c r="X279" i="33"/>
  <c r="Q279" i="33"/>
  <c r="J279" i="33"/>
  <c r="H279" i="33"/>
  <c r="G279" i="33"/>
  <c r="AE278" i="33"/>
  <c r="X278" i="33"/>
  <c r="Q278" i="33"/>
  <c r="J278" i="33"/>
  <c r="H278" i="33"/>
  <c r="G278" i="33"/>
  <c r="AE277" i="33"/>
  <c r="X277" i="33"/>
  <c r="Q277" i="33"/>
  <c r="J277" i="33"/>
  <c r="H277" i="33"/>
  <c r="G277" i="33"/>
  <c r="AE276" i="33"/>
  <c r="X276" i="33"/>
  <c r="Q276" i="33"/>
  <c r="J276" i="33"/>
  <c r="H276" i="33"/>
  <c r="G276" i="33"/>
  <c r="AE189" i="33"/>
  <c r="X189" i="33"/>
  <c r="Q189" i="33"/>
  <c r="J189" i="33"/>
  <c r="H189" i="33"/>
  <c r="AE188" i="33"/>
  <c r="X188" i="33"/>
  <c r="Q188" i="33"/>
  <c r="J188" i="33"/>
  <c r="H188" i="33"/>
  <c r="AE187" i="33"/>
  <c r="X187" i="33"/>
  <c r="Q187" i="33"/>
  <c r="J187" i="33"/>
  <c r="H187" i="33"/>
  <c r="AE186" i="33"/>
  <c r="X186" i="33"/>
  <c r="Q186" i="33"/>
  <c r="J186" i="33"/>
  <c r="H186" i="33"/>
  <c r="AE185" i="33"/>
  <c r="X185" i="33"/>
  <c r="Q185" i="33"/>
  <c r="J185" i="33"/>
  <c r="H185" i="33"/>
  <c r="AE184" i="33"/>
  <c r="X184" i="33"/>
  <c r="Q184" i="33"/>
  <c r="J184" i="33"/>
  <c r="H184" i="33"/>
  <c r="AE183" i="33"/>
  <c r="X183" i="33"/>
  <c r="Q183" i="33"/>
  <c r="J183" i="33"/>
  <c r="H183" i="33"/>
  <c r="AE182" i="33"/>
  <c r="X182" i="33"/>
  <c r="Q182" i="33"/>
  <c r="J182" i="33"/>
  <c r="H182" i="33"/>
  <c r="AE179" i="33"/>
  <c r="X179" i="33"/>
  <c r="Q179" i="33"/>
  <c r="J179" i="33"/>
  <c r="H179" i="33"/>
  <c r="AE352" i="33"/>
  <c r="X352" i="33"/>
  <c r="Q352" i="33"/>
  <c r="J352" i="33"/>
  <c r="H352" i="33"/>
  <c r="G352" i="33"/>
  <c r="AE275" i="33"/>
  <c r="AE274" i="33"/>
  <c r="AE273" i="33"/>
  <c r="AE272" i="33"/>
  <c r="X275" i="33"/>
  <c r="Q275" i="33"/>
  <c r="J275" i="33"/>
  <c r="H275" i="33"/>
  <c r="G275" i="33"/>
  <c r="AE178" i="33"/>
  <c r="X178" i="33"/>
  <c r="Q178" i="33"/>
  <c r="J178" i="33"/>
  <c r="H178" i="33"/>
  <c r="X274" i="33"/>
  <c r="Q274" i="33"/>
  <c r="J274" i="33"/>
  <c r="H274" i="33"/>
  <c r="G274" i="33"/>
  <c r="X273" i="33"/>
  <c r="Q273" i="33"/>
  <c r="J273" i="33"/>
  <c r="H273" i="33"/>
  <c r="G273" i="33"/>
  <c r="X272" i="33"/>
  <c r="Q272" i="33"/>
  <c r="J272" i="33"/>
  <c r="H272" i="33"/>
  <c r="G272" i="33"/>
  <c r="G344" i="33"/>
  <c r="G343" i="33"/>
  <c r="G342" i="33"/>
  <c r="J350" i="33"/>
  <c r="H350" i="33"/>
  <c r="G350" i="33"/>
  <c r="G341" i="33"/>
  <c r="J349" i="33"/>
  <c r="H349" i="33"/>
  <c r="G349" i="33"/>
  <c r="J348" i="33"/>
  <c r="H348" i="33"/>
  <c r="G348" i="33"/>
  <c r="AE346" i="33"/>
  <c r="X346" i="33"/>
  <c r="Q346" i="33"/>
  <c r="J346" i="33"/>
  <c r="H346" i="33"/>
  <c r="G340" i="33"/>
  <c r="G339" i="33"/>
  <c r="G338" i="33"/>
  <c r="G337" i="33"/>
  <c r="G336" i="33"/>
  <c r="G335" i="33"/>
  <c r="G334" i="33"/>
  <c r="G333" i="33"/>
  <c r="G332" i="33"/>
  <c r="G331" i="33"/>
  <c r="G330" i="33"/>
  <c r="G329"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AE321" i="33"/>
  <c r="X321" i="33"/>
  <c r="Q321" i="33"/>
  <c r="J321" i="33"/>
  <c r="H321" i="33"/>
  <c r="G321" i="33"/>
  <c r="AE320" i="33"/>
  <c r="X320" i="33"/>
  <c r="Q320" i="33"/>
  <c r="J320" i="33"/>
  <c r="H320" i="33"/>
  <c r="G320" i="33"/>
  <c r="AE319" i="33"/>
  <c r="X319" i="33"/>
  <c r="Q319" i="33"/>
  <c r="J319" i="33"/>
  <c r="H319" i="33"/>
  <c r="G319" i="33"/>
  <c r="AE318" i="33"/>
  <c r="X318" i="33"/>
  <c r="Q318" i="33"/>
  <c r="J318" i="33"/>
  <c r="H318" i="33"/>
  <c r="G318" i="33"/>
  <c r="AE317" i="33"/>
  <c r="X317" i="33"/>
  <c r="Q317" i="33"/>
  <c r="J317" i="33"/>
  <c r="H317" i="33"/>
  <c r="G317" i="33"/>
  <c r="G313" i="33"/>
  <c r="G312" i="33"/>
  <c r="AE311" i="33"/>
  <c r="X311" i="33"/>
  <c r="Q311" i="33"/>
  <c r="J311" i="33"/>
  <c r="H311" i="33"/>
  <c r="G311" i="33"/>
  <c r="AE310" i="33"/>
  <c r="X310" i="33"/>
  <c r="Q310" i="33"/>
  <c r="J310" i="33"/>
  <c r="H310" i="33"/>
  <c r="G310" i="33"/>
  <c r="AE309" i="33"/>
  <c r="X309" i="33"/>
  <c r="Q309" i="33"/>
  <c r="J309" i="33"/>
  <c r="H309" i="33"/>
  <c r="G309" i="33"/>
  <c r="AE308" i="33"/>
  <c r="X308" i="33"/>
  <c r="Q308" i="33"/>
  <c r="J308" i="33"/>
  <c r="H308" i="33"/>
  <c r="G308" i="33"/>
  <c r="AE271" i="33"/>
  <c r="X271" i="33"/>
  <c r="Q271" i="33"/>
  <c r="J271" i="33"/>
  <c r="H271" i="33"/>
  <c r="G271" i="33"/>
  <c r="J270" i="33"/>
  <c r="H270" i="33"/>
  <c r="G270" i="33"/>
  <c r="J269" i="33"/>
  <c r="H269" i="33"/>
  <c r="G269" i="33"/>
  <c r="J268" i="33"/>
  <c r="H268" i="33"/>
  <c r="G268" i="33"/>
  <c r="J267" i="33"/>
  <c r="H267" i="33"/>
  <c r="G267" i="33"/>
  <c r="AE266" i="33"/>
  <c r="X266" i="33"/>
  <c r="Q266" i="33"/>
  <c r="J266" i="33"/>
  <c r="H266" i="33"/>
  <c r="G266" i="33"/>
  <c r="AE265" i="33"/>
  <c r="X265" i="33"/>
  <c r="Q265" i="33"/>
  <c r="J265" i="33"/>
  <c r="H265" i="33"/>
  <c r="G265" i="33"/>
  <c r="J264" i="33"/>
  <c r="H264" i="33"/>
  <c r="G264" i="33"/>
  <c r="J263" i="33"/>
  <c r="H263" i="33"/>
  <c r="G263" i="33"/>
  <c r="AE177" i="33"/>
  <c r="X177" i="33"/>
  <c r="Q177" i="33"/>
  <c r="J177" i="33"/>
  <c r="H177" i="33"/>
  <c r="AE262" i="33"/>
  <c r="X262" i="33"/>
  <c r="Q262" i="33"/>
  <c r="J262" i="33"/>
  <c r="H262" i="33"/>
  <c r="G262" i="33"/>
  <c r="AE261" i="33"/>
  <c r="X261" i="33"/>
  <c r="Q261" i="33"/>
  <c r="J261" i="33"/>
  <c r="H261" i="33"/>
  <c r="G261" i="33"/>
  <c r="AE260" i="33"/>
  <c r="X260" i="33"/>
  <c r="Q260" i="33"/>
  <c r="J260" i="33"/>
  <c r="H260" i="33"/>
  <c r="G260" i="33"/>
  <c r="AE259" i="33"/>
  <c r="X259" i="33"/>
  <c r="Q259" i="33"/>
  <c r="J259" i="33"/>
  <c r="H259" i="33"/>
  <c r="G259" i="33"/>
  <c r="AE258" i="33"/>
  <c r="X258" i="33"/>
  <c r="Q258" i="33"/>
  <c r="J258" i="33"/>
  <c r="H258" i="33"/>
  <c r="G258" i="33"/>
  <c r="AE257" i="33"/>
  <c r="X257" i="33"/>
  <c r="Q257" i="33"/>
  <c r="J257" i="33"/>
  <c r="H257" i="33"/>
  <c r="G257" i="33"/>
  <c r="AE307" i="33"/>
  <c r="X307" i="33"/>
  <c r="Q307" i="33"/>
  <c r="J307" i="33"/>
  <c r="H307" i="33"/>
  <c r="G307" i="33"/>
  <c r="AE306" i="33"/>
  <c r="X306" i="33"/>
  <c r="Q306" i="33"/>
  <c r="J306" i="33"/>
  <c r="H306" i="33"/>
  <c r="G306" i="33"/>
  <c r="AE305" i="33"/>
  <c r="X305" i="33"/>
  <c r="Q305" i="33"/>
  <c r="J305" i="33"/>
  <c r="H305" i="33"/>
  <c r="G305" i="33"/>
  <c r="G123" i="33" l="1"/>
  <c r="G122" i="33"/>
  <c r="G121" i="33"/>
  <c r="CC117" i="3"/>
  <c r="CC116" i="3"/>
  <c r="BS117" i="3"/>
  <c r="BS116" i="3"/>
  <c r="BI117" i="3"/>
  <c r="BI116" i="3"/>
  <c r="AY117" i="3"/>
  <c r="M120" i="33" s="1"/>
  <c r="N120" i="33" s="1"/>
  <c r="AY116" i="3"/>
  <c r="M119" i="33" s="1"/>
  <c r="N119" i="33" s="1"/>
  <c r="G113" i="33"/>
  <c r="G112" i="33"/>
  <c r="G120" i="33"/>
  <c r="G111" i="33"/>
  <c r="G119" i="33"/>
  <c r="G118" i="33"/>
  <c r="G117"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AE256" i="33"/>
  <c r="X256" i="33"/>
  <c r="Q256" i="33"/>
  <c r="J256" i="33"/>
  <c r="H256" i="33"/>
  <c r="G256" i="33"/>
  <c r="G66" i="33"/>
  <c r="AE255" i="33"/>
  <c r="X255" i="33"/>
  <c r="Q255" i="33"/>
  <c r="J255" i="33"/>
  <c r="H255" i="33"/>
  <c r="G255" i="33"/>
  <c r="AE254" i="33"/>
  <c r="X254" i="33"/>
  <c r="Q254" i="33"/>
  <c r="J254" i="33"/>
  <c r="H254" i="33"/>
  <c r="G254" i="33"/>
  <c r="AE253" i="33"/>
  <c r="X253" i="33"/>
  <c r="Q253" i="33"/>
  <c r="J253" i="33"/>
  <c r="H253" i="33"/>
  <c r="G253" i="33"/>
  <c r="AE252" i="33"/>
  <c r="X252" i="33"/>
  <c r="Q252" i="33"/>
  <c r="J252" i="33"/>
  <c r="H252" i="33"/>
  <c r="G252" i="33"/>
  <c r="AE251" i="33"/>
  <c r="X251" i="33"/>
  <c r="Q251" i="33"/>
  <c r="J251" i="33"/>
  <c r="H251" i="33"/>
  <c r="G251" i="33"/>
  <c r="AE249" i="33"/>
  <c r="X249" i="33"/>
  <c r="Q249" i="33"/>
  <c r="J249" i="33"/>
  <c r="H249" i="33"/>
  <c r="G249" i="33"/>
  <c r="AE357" i="33"/>
  <c r="X357" i="33"/>
  <c r="Q357" i="33"/>
  <c r="J357" i="33"/>
  <c r="H357" i="33"/>
  <c r="G357" i="33"/>
  <c r="AE248" i="33"/>
  <c r="X248" i="33"/>
  <c r="Q248" i="33"/>
  <c r="J248" i="33"/>
  <c r="H248" i="33"/>
  <c r="G248" i="33"/>
  <c r="AE176" i="33"/>
  <c r="X176" i="33"/>
  <c r="Q176" i="33"/>
  <c r="J176" i="33"/>
  <c r="H176" i="33"/>
  <c r="G176" i="33"/>
  <c r="AE247" i="33"/>
  <c r="X247" i="33"/>
  <c r="Q247" i="33"/>
  <c r="J247" i="33"/>
  <c r="H247" i="33"/>
  <c r="G247" i="33"/>
  <c r="AE246" i="33"/>
  <c r="X246" i="33"/>
  <c r="Q246" i="33"/>
  <c r="J246" i="33"/>
  <c r="H246" i="33"/>
  <c r="G246" i="33"/>
  <c r="AE245" i="33"/>
  <c r="X245" i="33"/>
  <c r="Q245" i="33"/>
  <c r="J245" i="33"/>
  <c r="H245" i="33"/>
  <c r="G245" i="33"/>
  <c r="H40" i="33"/>
  <c r="AE244" i="33"/>
  <c r="X244" i="33"/>
  <c r="Q244" i="33"/>
  <c r="J244" i="33"/>
  <c r="H244" i="33"/>
  <c r="G244" i="33"/>
  <c r="AE164" i="33"/>
  <c r="X164" i="33"/>
  <c r="Q164" i="33"/>
  <c r="J164" i="33"/>
  <c r="H164" i="33"/>
  <c r="G164" i="33"/>
  <c r="J163" i="33"/>
  <c r="H163" i="33"/>
  <c r="G163" i="33"/>
  <c r="J162" i="33"/>
  <c r="H162" i="33"/>
  <c r="G162" i="33"/>
  <c r="AE161" i="33" l="1"/>
  <c r="X161" i="33"/>
  <c r="Q161" i="33"/>
  <c r="J161" i="33"/>
  <c r="H161" i="33"/>
  <c r="G161" i="33"/>
  <c r="AE160" i="33"/>
  <c r="X160" i="33"/>
  <c r="Q160" i="33"/>
  <c r="J160" i="33"/>
  <c r="H160" i="33"/>
  <c r="G160" i="33"/>
  <c r="AE159" i="33"/>
  <c r="X159" i="33"/>
  <c r="Q159" i="33"/>
  <c r="J159" i="33"/>
  <c r="H159" i="33"/>
  <c r="G159" i="33"/>
  <c r="AE243" i="33"/>
  <c r="X243" i="33"/>
  <c r="Q243" i="33"/>
  <c r="J243" i="33"/>
  <c r="H243" i="33"/>
  <c r="G243" i="33"/>
  <c r="AE242" i="33"/>
  <c r="X242" i="33"/>
  <c r="Q242" i="33"/>
  <c r="J242" i="33"/>
  <c r="H242" i="33"/>
  <c r="G242" i="33"/>
  <c r="AE241" i="33"/>
  <c r="X241" i="33"/>
  <c r="Q241" i="33"/>
  <c r="J241" i="33"/>
  <c r="H241" i="33"/>
  <c r="G241" i="33"/>
  <c r="AE240" i="33"/>
  <c r="X240" i="33"/>
  <c r="Q240" i="33"/>
  <c r="J240" i="33"/>
  <c r="H240" i="33"/>
  <c r="G240" i="33"/>
  <c r="AE239" i="33"/>
  <c r="X239" i="33"/>
  <c r="Q239" i="33"/>
  <c r="J239" i="33"/>
  <c r="H239" i="33"/>
  <c r="G239" i="33"/>
  <c r="AV42" i="3"/>
  <c r="G58" i="33"/>
  <c r="G57" i="33"/>
  <c r="G56" i="33"/>
  <c r="G41" i="33"/>
  <c r="G54" i="33"/>
  <c r="G53" i="33"/>
  <c r="G52" i="33"/>
  <c r="G51" i="33"/>
  <c r="G50" i="33"/>
  <c r="G49" i="33"/>
  <c r="G47" i="33"/>
  <c r="G46" i="33"/>
  <c r="G45" i="33"/>
  <c r="G44" i="33"/>
  <c r="G43" i="33"/>
  <c r="G42" i="33"/>
  <c r="G40" i="33"/>
  <c r="AE175" i="33"/>
  <c r="X175" i="33"/>
  <c r="Q175" i="33"/>
  <c r="J175" i="33"/>
  <c r="H175" i="33"/>
  <c r="G175" i="33"/>
  <c r="AE173" i="33"/>
  <c r="X173" i="33"/>
  <c r="Q173" i="33"/>
  <c r="J173" i="33"/>
  <c r="H173" i="33"/>
  <c r="G173" i="33"/>
  <c r="AE171" i="33"/>
  <c r="X171" i="33"/>
  <c r="Q171" i="33"/>
  <c r="J171" i="33"/>
  <c r="H171" i="33"/>
  <c r="G171" i="33"/>
  <c r="AE170" i="33"/>
  <c r="X170" i="33"/>
  <c r="Q170" i="33"/>
  <c r="J170" i="33"/>
  <c r="H170" i="33"/>
  <c r="G170" i="33"/>
  <c r="AE169" i="33"/>
  <c r="X169" i="33"/>
  <c r="Q169" i="33"/>
  <c r="J169" i="33"/>
  <c r="H169" i="33"/>
  <c r="G169" i="33"/>
  <c r="AE168" i="33"/>
  <c r="AE233" i="33"/>
  <c r="X168" i="33"/>
  <c r="Q168" i="33"/>
  <c r="J168" i="33"/>
  <c r="J236" i="33"/>
  <c r="J235" i="33"/>
  <c r="J234" i="33"/>
  <c r="X233" i="33"/>
  <c r="Q233" i="33"/>
  <c r="J233" i="33"/>
  <c r="AE165" i="33"/>
  <c r="X165" i="33"/>
  <c r="Q165" i="33"/>
  <c r="J165" i="33"/>
  <c r="G168" i="33"/>
  <c r="G234" i="33"/>
  <c r="G233" i="33"/>
  <c r="G165" i="33"/>
  <c r="H168" i="33"/>
  <c r="H236" i="33"/>
  <c r="H235" i="33"/>
  <c r="H234" i="33"/>
  <c r="H233" i="33"/>
  <c r="H165" i="33"/>
  <c r="G65" i="33"/>
  <c r="G61" i="33"/>
  <c r="G60" i="33"/>
  <c r="G59" i="33"/>
  <c r="G33" i="33" l="1"/>
  <c r="G32" i="33"/>
  <c r="G31" i="33"/>
  <c r="G29" i="33"/>
  <c r="G34" i="33"/>
  <c r="AE232" i="33"/>
  <c r="X232" i="33"/>
  <c r="Q232" i="33"/>
  <c r="J232" i="33"/>
  <c r="H232" i="33"/>
  <c r="G232" i="33"/>
  <c r="AE231" i="33"/>
  <c r="X231" i="33"/>
  <c r="Q231" i="33"/>
  <c r="J231" i="33"/>
  <c r="H231" i="33"/>
  <c r="G231" i="33"/>
  <c r="AE35" i="33"/>
  <c r="X35" i="33"/>
  <c r="Q35" i="33"/>
  <c r="J35" i="33"/>
  <c r="H35" i="33"/>
  <c r="G35" i="33"/>
  <c r="AE155" i="33"/>
  <c r="X155" i="33"/>
  <c r="Q155" i="33"/>
  <c r="J155" i="33"/>
  <c r="H155" i="33"/>
  <c r="G155" i="33"/>
  <c r="AE215" i="33"/>
  <c r="X215" i="33"/>
  <c r="Q215" i="33"/>
  <c r="J215" i="33"/>
  <c r="H215" i="33"/>
  <c r="G215" i="33"/>
  <c r="AE214" i="33"/>
  <c r="X214" i="33"/>
  <c r="Q214" i="33"/>
  <c r="J214" i="33"/>
  <c r="H214" i="33"/>
  <c r="G214" i="33"/>
  <c r="AE213" i="33"/>
  <c r="X213" i="33"/>
  <c r="Q213" i="33"/>
  <c r="J213" i="33"/>
  <c r="H213" i="33"/>
  <c r="G213" i="33"/>
  <c r="J154" i="33"/>
  <c r="H154" i="33"/>
  <c r="G154" i="33"/>
  <c r="J152" i="33"/>
  <c r="H152" i="33"/>
  <c r="G152" i="33"/>
  <c r="AE212" i="33" l="1"/>
  <c r="X212" i="33"/>
  <c r="Q212" i="33"/>
  <c r="J212" i="33"/>
  <c r="H212" i="33"/>
  <c r="G212" i="33"/>
  <c r="AE211" i="33"/>
  <c r="X211" i="33"/>
  <c r="Q211" i="33"/>
  <c r="J211" i="33"/>
  <c r="H211" i="33"/>
  <c r="G211" i="33"/>
  <c r="AE210" i="33"/>
  <c r="X210" i="33"/>
  <c r="Q210" i="33"/>
  <c r="J210" i="33"/>
  <c r="H210" i="33"/>
  <c r="G210" i="33"/>
  <c r="AE151" i="33"/>
  <c r="X151" i="33"/>
  <c r="Q151" i="33"/>
  <c r="J151" i="33"/>
  <c r="H151" i="33"/>
  <c r="AE209" i="33"/>
  <c r="X209" i="33"/>
  <c r="Q209" i="33"/>
  <c r="AI34" i="27"/>
  <c r="J209" i="33"/>
  <c r="H209" i="33"/>
  <c r="G209" i="33"/>
  <c r="AE208" i="33"/>
  <c r="X208" i="33"/>
  <c r="Q208" i="33"/>
  <c r="J208" i="33"/>
  <c r="H208" i="33"/>
  <c r="G208" i="33"/>
  <c r="AE207" i="33"/>
  <c r="X207" i="33"/>
  <c r="Q207" i="33"/>
  <c r="J207" i="33"/>
  <c r="H207" i="33"/>
  <c r="G207" i="33"/>
  <c r="BN16" i="27"/>
  <c r="BO22" i="27"/>
  <c r="BO24" i="27"/>
  <c r="BE24" i="27"/>
  <c r="BE22" i="27"/>
  <c r="AA142" i="33" s="1"/>
  <c r="AB142" i="33" s="1"/>
  <c r="AC142" i="33" s="1"/>
  <c r="AU22" i="27"/>
  <c r="AU24" i="27"/>
  <c r="AI22" i="27"/>
  <c r="AE150" i="33"/>
  <c r="X150" i="33"/>
  <c r="Q150" i="33"/>
  <c r="J150" i="33"/>
  <c r="H150" i="33"/>
  <c r="G150" i="33"/>
  <c r="AE149" i="33"/>
  <c r="X149" i="33"/>
  <c r="Q149" i="33"/>
  <c r="J149" i="33"/>
  <c r="H149" i="33"/>
  <c r="G149" i="33"/>
  <c r="AE148" i="33"/>
  <c r="X148" i="33"/>
  <c r="Q148" i="33"/>
  <c r="J148" i="33"/>
  <c r="H148" i="33"/>
  <c r="G148" i="33"/>
  <c r="AE147" i="33"/>
  <c r="X147" i="33"/>
  <c r="Q147" i="33"/>
  <c r="J147" i="33"/>
  <c r="H147" i="33"/>
  <c r="G147" i="33"/>
  <c r="AE146" i="33"/>
  <c r="X146" i="33"/>
  <c r="Q146" i="33"/>
  <c r="J146" i="33"/>
  <c r="H146" i="33"/>
  <c r="G146" i="33"/>
  <c r="AE145" i="33"/>
  <c r="X145" i="33"/>
  <c r="Q145" i="33"/>
  <c r="J145" i="33"/>
  <c r="H145" i="33"/>
  <c r="G145" i="33"/>
  <c r="G27" i="33"/>
  <c r="G26" i="33"/>
  <c r="G25" i="33"/>
  <c r="G24" i="33"/>
  <c r="G23" i="33"/>
  <c r="AE206" i="33"/>
  <c r="X206" i="33"/>
  <c r="Q206" i="33"/>
  <c r="J206" i="33"/>
  <c r="H206" i="33"/>
  <c r="G206" i="33"/>
  <c r="AE144" i="33"/>
  <c r="X144" i="33"/>
  <c r="Q144" i="33"/>
  <c r="J144" i="33"/>
  <c r="H144" i="33"/>
  <c r="G144" i="33"/>
  <c r="G143" i="33"/>
  <c r="AE142" i="33"/>
  <c r="X142" i="33"/>
  <c r="Q142" i="33"/>
  <c r="J142" i="33"/>
  <c r="H142" i="33"/>
  <c r="G142" i="33"/>
  <c r="AE141" i="33"/>
  <c r="X141" i="33"/>
  <c r="Q141" i="33"/>
  <c r="J141" i="33"/>
  <c r="H141" i="33"/>
  <c r="G141" i="33"/>
  <c r="G22" i="33"/>
  <c r="G21" i="33"/>
  <c r="G20" i="33"/>
  <c r="G19" i="33"/>
  <c r="G18" i="33"/>
  <c r="AE140" i="33"/>
  <c r="X140" i="33"/>
  <c r="Q140" i="33"/>
  <c r="J140" i="33"/>
  <c r="AE139" i="33"/>
  <c r="X139" i="33"/>
  <c r="Q139" i="33"/>
  <c r="J139" i="33"/>
  <c r="AE138" i="33"/>
  <c r="X138" i="33"/>
  <c r="Q138" i="33"/>
  <c r="J138" i="33"/>
  <c r="AE137" i="33"/>
  <c r="X137" i="33"/>
  <c r="Q137" i="33"/>
  <c r="J137" i="33"/>
  <c r="H140" i="33"/>
  <c r="G140" i="33"/>
  <c r="H139" i="33"/>
  <c r="G139" i="33"/>
  <c r="H138" i="33"/>
  <c r="G138" i="33"/>
  <c r="H137" i="33"/>
  <c r="G137" i="33"/>
  <c r="AE136" i="33"/>
  <c r="X136" i="33"/>
  <c r="Q136" i="33"/>
  <c r="J136" i="33"/>
  <c r="H136" i="33"/>
  <c r="G136" i="33"/>
  <c r="AE205" i="33"/>
  <c r="X205" i="33"/>
  <c r="Q205" i="33"/>
  <c r="J205" i="33"/>
  <c r="AE204" i="33"/>
  <c r="X204" i="33"/>
  <c r="Q204" i="33"/>
  <c r="J204" i="33"/>
  <c r="H205" i="33"/>
  <c r="G205" i="33"/>
  <c r="H204" i="33"/>
  <c r="G204" i="33"/>
  <c r="G17" i="33"/>
  <c r="G16" i="33"/>
  <c r="AE134" i="33"/>
  <c r="X134" i="33"/>
  <c r="Q134" i="33"/>
  <c r="J134" i="33"/>
  <c r="AE131" i="33"/>
  <c r="X131" i="33"/>
  <c r="Q131" i="33"/>
  <c r="J131" i="33"/>
  <c r="K142" i="33" l="1"/>
  <c r="L142" i="33" s="1"/>
  <c r="M142" i="33"/>
  <c r="N142" i="33" s="1"/>
  <c r="O142" i="33" s="1"/>
  <c r="M144" i="33"/>
  <c r="N144" i="33" s="1"/>
  <c r="O144" i="33" s="1"/>
  <c r="T144" i="33"/>
  <c r="U144" i="33" s="1"/>
  <c r="V144" i="33" s="1"/>
  <c r="T142" i="33"/>
  <c r="U142" i="33" s="1"/>
  <c r="V142" i="33" s="1"/>
  <c r="AH142" i="33"/>
  <c r="AI142" i="33" s="1"/>
  <c r="AA144" i="33"/>
  <c r="AB144" i="33" s="1"/>
  <c r="AC144" i="33" s="1"/>
  <c r="AH144" i="33"/>
  <c r="AI144" i="33" s="1"/>
  <c r="H134" i="33"/>
  <c r="H131" i="33"/>
  <c r="G131" i="33"/>
  <c r="G15" i="33"/>
  <c r="E201" i="33"/>
  <c r="J361" i="33"/>
  <c r="J362" i="33" s="1"/>
  <c r="J363" i="33" s="1"/>
  <c r="Q361" i="33"/>
  <c r="Q362" i="33" s="1"/>
  <c r="Q363" i="33" s="1"/>
  <c r="X361" i="33"/>
  <c r="X362" i="33" s="1"/>
  <c r="X363" i="33" s="1"/>
  <c r="AE361" i="33"/>
  <c r="AE362" i="33" s="1"/>
  <c r="AE363" i="33" s="1"/>
  <c r="CB165" i="3" l="1"/>
  <c r="AH201" i="33" s="1"/>
  <c r="AI201" i="33" s="1"/>
  <c r="BZ165" i="3"/>
  <c r="CB176" i="3"/>
  <c r="AH200" i="33" s="1"/>
  <c r="AI200" i="33" s="1"/>
  <c r="BZ176" i="3"/>
  <c r="BR165" i="3"/>
  <c r="AA201" i="33" s="1"/>
  <c r="AB201" i="33" s="1"/>
  <c r="AC201" i="33" s="1"/>
  <c r="BP165" i="3"/>
  <c r="BR176" i="3"/>
  <c r="AA200" i="33" s="1"/>
  <c r="AB200" i="33" s="1"/>
  <c r="AC200" i="33" s="1"/>
  <c r="BP176" i="3"/>
  <c r="BH165" i="3"/>
  <c r="T201" i="33" s="1"/>
  <c r="U201" i="33" s="1"/>
  <c r="V201" i="33" s="1"/>
  <c r="BF165" i="3"/>
  <c r="BH176" i="3"/>
  <c r="T200" i="33" s="1"/>
  <c r="U200" i="33" s="1"/>
  <c r="V200" i="33" s="1"/>
  <c r="BF176" i="3"/>
  <c r="AX165" i="3"/>
  <c r="M201" i="33" s="1"/>
  <c r="N201" i="33" s="1"/>
  <c r="O201" i="33" s="1"/>
  <c r="AV165" i="3"/>
  <c r="AX176" i="3"/>
  <c r="M200" i="33" s="1"/>
  <c r="AV176" i="3"/>
  <c r="B16" i="32" l="1"/>
  <c r="B15" i="32"/>
  <c r="E7" i="32"/>
  <c r="B6" i="32"/>
  <c r="E5" i="32"/>
  <c r="E4" i="32"/>
  <c r="B4" i="32"/>
  <c r="B19" i="32" s="1"/>
  <c r="B24" i="32" s="1"/>
  <c r="E8" i="32" l="1"/>
  <c r="E10" i="32" s="1"/>
  <c r="E12" i="32" s="1"/>
  <c r="B26" i="32" s="1"/>
  <c r="BM140" i="3"/>
  <c r="BW140" i="3"/>
  <c r="CB137" i="3"/>
  <c r="AH286" i="33" s="1"/>
  <c r="AI286" i="33" s="1"/>
  <c r="CA137" i="3"/>
  <c r="BZ137" i="3"/>
  <c r="BM139" i="3"/>
  <c r="BW139" i="3"/>
  <c r="BR137" i="3"/>
  <c r="AA286" i="33" s="1"/>
  <c r="AB286" i="33" s="1"/>
  <c r="AC286" i="33" s="1"/>
  <c r="BQ137" i="3"/>
  <c r="BP137" i="3"/>
  <c r="BH137" i="3"/>
  <c r="T286" i="33" s="1"/>
  <c r="U286" i="33" s="1"/>
  <c r="V286" i="33" s="1"/>
  <c r="BG137" i="3"/>
  <c r="BF137" i="3"/>
  <c r="AX137" i="3"/>
  <c r="M286" i="33" s="1"/>
  <c r="N286" i="33" s="1"/>
  <c r="O286" i="33" s="1"/>
  <c r="AW137" i="3"/>
  <c r="AV137" i="3"/>
  <c r="CL137" i="3"/>
  <c r="CK137" i="3"/>
  <c r="CJ137" i="3"/>
  <c r="CI137" i="3"/>
  <c r="CH137" i="3"/>
  <c r="CG137" i="3"/>
  <c r="CF137" i="3"/>
  <c r="CE137" i="3"/>
  <c r="K286" i="33" s="1"/>
  <c r="L286" i="33" s="1"/>
  <c r="AO137" i="3"/>
  <c r="CC137" i="3" s="1"/>
  <c r="G12" i="32" l="1"/>
  <c r="AY137" i="3"/>
  <c r="BI137" i="3"/>
  <c r="BS137" i="3"/>
  <c r="AO165" i="3"/>
  <c r="AN165" i="3"/>
  <c r="CM95" i="3"/>
  <c r="CM94" i="3"/>
  <c r="BB165" i="3" l="1"/>
  <c r="AR165" i="3"/>
  <c r="BV165" i="3"/>
  <c r="BL165" i="3"/>
  <c r="CC165" i="3"/>
  <c r="AS165" i="3"/>
  <c r="AW165" i="3" s="1"/>
  <c r="BS165" i="3"/>
  <c r="BW165" i="3"/>
  <c r="CA165" i="3" s="1"/>
  <c r="BI165" i="3"/>
  <c r="BM165" i="3"/>
  <c r="BQ165" i="3" s="1"/>
  <c r="AY165" i="3"/>
  <c r="BC165" i="3"/>
  <c r="BG165" i="3" s="1"/>
  <c r="AO41" i="3"/>
  <c r="CM11" i="3"/>
  <c r="CM12" i="3"/>
  <c r="CM13" i="3"/>
  <c r="CM27" i="3"/>
  <c r="CM28" i="3"/>
  <c r="CM30" i="3"/>
  <c r="CM32" i="3"/>
  <c r="CM33" i="3"/>
  <c r="CM34" i="3"/>
  <c r="CM36" i="3"/>
  <c r="CM40" i="3"/>
  <c r="CM43" i="3"/>
  <c r="CM44" i="3"/>
  <c r="CM45" i="3"/>
  <c r="CM46" i="3"/>
  <c r="CM47" i="3"/>
  <c r="CM48" i="3"/>
  <c r="CM51" i="3"/>
  <c r="CM52" i="3"/>
  <c r="CM53" i="3"/>
  <c r="CM54" i="3"/>
  <c r="CM55" i="3"/>
  <c r="CM57" i="3"/>
  <c r="CM58" i="3"/>
  <c r="CM59" i="3"/>
  <c r="CM60" i="3"/>
  <c r="CM61" i="3"/>
  <c r="CM62" i="3"/>
  <c r="CM63" i="3"/>
  <c r="CM64" i="3"/>
  <c r="CM65" i="3"/>
  <c r="CM66" i="3"/>
  <c r="CM67" i="3"/>
  <c r="CM68" i="3"/>
  <c r="CM69" i="3"/>
  <c r="CM70" i="3"/>
  <c r="CM71" i="3"/>
  <c r="CM72" i="3"/>
  <c r="CM86" i="3"/>
  <c r="CM87" i="3"/>
  <c r="CM88" i="3"/>
  <c r="CM89" i="3"/>
  <c r="CM90" i="3"/>
  <c r="CM91" i="3"/>
  <c r="CM116" i="3"/>
  <c r="CM117" i="3"/>
  <c r="CM118" i="3"/>
  <c r="CM119" i="3"/>
  <c r="CM120" i="3"/>
  <c r="CM123" i="3"/>
  <c r="CM124" i="3"/>
  <c r="CM125" i="3"/>
  <c r="CM126" i="3"/>
  <c r="CM127" i="3"/>
  <c r="CM128" i="3"/>
  <c r="CM129" i="3"/>
  <c r="CM130" i="3"/>
  <c r="CM131" i="3"/>
  <c r="CM132" i="3"/>
  <c r="CM142" i="3"/>
  <c r="CM154" i="3"/>
  <c r="CM157" i="3"/>
  <c r="CM158" i="3"/>
  <c r="CM164" i="3"/>
  <c r="CK176" i="3"/>
  <c r="AF200" i="33" s="1"/>
  <c r="AG200" i="33" s="1"/>
  <c r="CI176" i="3"/>
  <c r="Y200" i="33" s="1"/>
  <c r="CG176" i="3"/>
  <c r="R200" i="33" s="1"/>
  <c r="CE176" i="3"/>
  <c r="CK165" i="3"/>
  <c r="AF201" i="33" s="1"/>
  <c r="CI165" i="3"/>
  <c r="Y201" i="33" s="1"/>
  <c r="CG165" i="3"/>
  <c r="R201" i="33" s="1"/>
  <c r="CE165" i="3"/>
  <c r="K201" i="33" s="1"/>
  <c r="L201" i="33" s="1"/>
  <c r="CI140" i="3"/>
  <c r="Y292" i="33" s="1"/>
  <c r="Z292" i="33" s="1"/>
  <c r="CG140" i="3"/>
  <c r="R292" i="33" s="1"/>
  <c r="CK178" i="3"/>
  <c r="AF303" i="33" s="1"/>
  <c r="AG303" i="33" s="1"/>
  <c r="CI178" i="3"/>
  <c r="Y303" i="33" s="1"/>
  <c r="Z303" i="33" s="1"/>
  <c r="CG178" i="3"/>
  <c r="R303" i="33" s="1"/>
  <c r="S303" i="33" s="1"/>
  <c r="CE178" i="3"/>
  <c r="K303" i="33" s="1"/>
  <c r="CB178" i="3"/>
  <c r="AH303" i="33" s="1"/>
  <c r="AI303" i="33" s="1"/>
  <c r="BZ178" i="3"/>
  <c r="BR178" i="3"/>
  <c r="AA303" i="33" s="1"/>
  <c r="AB303" i="33" s="1"/>
  <c r="AC303" i="33" s="1"/>
  <c r="BP178" i="3"/>
  <c r="BH178" i="3"/>
  <c r="T303" i="33" s="1"/>
  <c r="U303" i="33" s="1"/>
  <c r="V303" i="33" s="1"/>
  <c r="BF178" i="3"/>
  <c r="AX178" i="3"/>
  <c r="M303" i="33" s="1"/>
  <c r="N303" i="33" s="1"/>
  <c r="AV178" i="3"/>
  <c r="AO178" i="3"/>
  <c r="CC178" i="3" s="1"/>
  <c r="AN178" i="3"/>
  <c r="BB178" i="3" s="1"/>
  <c r="CK177" i="3"/>
  <c r="AF302" i="33" s="1"/>
  <c r="AG302" i="33" s="1"/>
  <c r="CI177" i="3"/>
  <c r="Y302" i="33" s="1"/>
  <c r="Z302" i="33" s="1"/>
  <c r="CG177" i="3"/>
  <c r="R302" i="33" s="1"/>
  <c r="S302" i="33" s="1"/>
  <c r="CE177" i="3"/>
  <c r="K302" i="33" s="1"/>
  <c r="CB177" i="3"/>
  <c r="AH302" i="33" s="1"/>
  <c r="AI302" i="33" s="1"/>
  <c r="BZ177" i="3"/>
  <c r="BR177" i="3"/>
  <c r="AA302" i="33" s="1"/>
  <c r="AB302" i="33" s="1"/>
  <c r="AC302" i="33" s="1"/>
  <c r="BP177" i="3"/>
  <c r="BH177" i="3"/>
  <c r="T302" i="33" s="1"/>
  <c r="U302" i="33" s="1"/>
  <c r="V302" i="33" s="1"/>
  <c r="BF177" i="3"/>
  <c r="AX177" i="3"/>
  <c r="M302" i="33" s="1"/>
  <c r="N302" i="33" s="1"/>
  <c r="AV177" i="3"/>
  <c r="AO177" i="3"/>
  <c r="BM177" i="3" s="1"/>
  <c r="AN177" i="3"/>
  <c r="BB177" i="3" s="1"/>
  <c r="BZ11" i="29"/>
  <c r="BZ12" i="29"/>
  <c r="BZ15" i="29"/>
  <c r="BZ12" i="27"/>
  <c r="BZ22" i="27"/>
  <c r="BZ23" i="27"/>
  <c r="BZ24" i="27"/>
  <c r="BZ31" i="27"/>
  <c r="BM24" i="27"/>
  <c r="BM22" i="27"/>
  <c r="BC24" i="27"/>
  <c r="BC22" i="27"/>
  <c r="AS24" i="27"/>
  <c r="AS22" i="27"/>
  <c r="BX24" i="27"/>
  <c r="BV24" i="27"/>
  <c r="BT24" i="27"/>
  <c r="BR24" i="27"/>
  <c r="BX22" i="27"/>
  <c r="BV22" i="27"/>
  <c r="BT22" i="27"/>
  <c r="BR22" i="27"/>
  <c r="AO179" i="3"/>
  <c r="BW179" i="3" s="1"/>
  <c r="AN179" i="3"/>
  <c r="BV179" i="3" s="1"/>
  <c r="CK179" i="3"/>
  <c r="AF301" i="33" s="1"/>
  <c r="CI179" i="3"/>
  <c r="Y301" i="33" s="1"/>
  <c r="Z301" i="33" s="1"/>
  <c r="CG179" i="3"/>
  <c r="R301" i="33" s="1"/>
  <c r="CE179" i="3"/>
  <c r="K301" i="33" s="1"/>
  <c r="L301" i="33" s="1"/>
  <c r="CB179" i="3"/>
  <c r="AH301" i="33" s="1"/>
  <c r="AI301" i="33" s="1"/>
  <c r="BZ179" i="3"/>
  <c r="BR179" i="3"/>
  <c r="AA301" i="33" s="1"/>
  <c r="AB301" i="33" s="1"/>
  <c r="AC301" i="33" s="1"/>
  <c r="BP179" i="3"/>
  <c r="BH179" i="3"/>
  <c r="T301" i="33" s="1"/>
  <c r="U301" i="33" s="1"/>
  <c r="V301" i="33" s="1"/>
  <c r="BF179" i="3"/>
  <c r="AX179" i="3"/>
  <c r="M301" i="33" s="1"/>
  <c r="N301" i="33" s="1"/>
  <c r="O301" i="33" s="1"/>
  <c r="AV179" i="3"/>
  <c r="AS21" i="27"/>
  <c r="AU21" i="27"/>
  <c r="BX21" i="27"/>
  <c r="BV21" i="27"/>
  <c r="BT21" i="27"/>
  <c r="BR21" i="27"/>
  <c r="BO21" i="27"/>
  <c r="BM21" i="27"/>
  <c r="BE21" i="27"/>
  <c r="BC21" i="27"/>
  <c r="AI21" i="27"/>
  <c r="AB21" i="27"/>
  <c r="BJ21" i="27" s="1"/>
  <c r="BN21" i="27" s="1"/>
  <c r="AA21" i="27"/>
  <c r="AY21" i="27" s="1"/>
  <c r="BX9" i="27"/>
  <c r="BV9" i="27"/>
  <c r="BT9" i="27"/>
  <c r="BR9" i="27"/>
  <c r="BO9" i="27"/>
  <c r="BM9" i="27"/>
  <c r="AS9" i="27"/>
  <c r="AI9" i="27"/>
  <c r="K131" i="33" s="1"/>
  <c r="BX12" i="27"/>
  <c r="BV12" i="27"/>
  <c r="AF134" i="33"/>
  <c r="AG134" i="33" s="1"/>
  <c r="Y134" i="33"/>
  <c r="Z134" i="33" s="1"/>
  <c r="S134" i="33"/>
  <c r="AK12" i="27"/>
  <c r="AB9" i="27"/>
  <c r="BP9" i="27" s="1"/>
  <c r="AA9" i="27"/>
  <c r="BI9" i="27" s="1"/>
  <c r="K200" i="33" l="1"/>
  <c r="AF144" i="33"/>
  <c r="AG144" i="33" s="1"/>
  <c r="K141" i="33"/>
  <c r="L141" i="33" s="1"/>
  <c r="AH131" i="33"/>
  <c r="AI131" i="33" s="1"/>
  <c r="M141" i="33"/>
  <c r="N141" i="33" s="1"/>
  <c r="O141" i="33" s="1"/>
  <c r="T131" i="33"/>
  <c r="T134" i="33"/>
  <c r="U134" i="33" s="1"/>
  <c r="V134" i="33" s="1"/>
  <c r="Y141" i="33"/>
  <c r="Z141" i="33" s="1"/>
  <c r="T141" i="33"/>
  <c r="U141" i="33" s="1"/>
  <c r="V141" i="33" s="1"/>
  <c r="R142" i="33"/>
  <c r="S142" i="33" s="1"/>
  <c r="AH134" i="33"/>
  <c r="AI134" i="33" s="1"/>
  <c r="AF142" i="33"/>
  <c r="AG142" i="33" s="1"/>
  <c r="AA131" i="33"/>
  <c r="AB131" i="33" s="1"/>
  <c r="M131" i="33"/>
  <c r="AA141" i="33"/>
  <c r="AB141" i="33" s="1"/>
  <c r="AC141" i="33" s="1"/>
  <c r="AH15" i="33"/>
  <c r="AI15" i="33" s="1"/>
  <c r="R141" i="33"/>
  <c r="S141" i="33" s="1"/>
  <c r="R144" i="33"/>
  <c r="S144" i="33" s="1"/>
  <c r="AA134" i="33"/>
  <c r="AB134" i="33" s="1"/>
  <c r="AC134" i="33" s="1"/>
  <c r="AF141" i="33"/>
  <c r="AG141" i="33" s="1"/>
  <c r="Y142" i="33"/>
  <c r="Z142" i="33" s="1"/>
  <c r="AH141" i="33"/>
  <c r="AI141" i="33" s="1"/>
  <c r="Y144" i="33"/>
  <c r="Z144" i="33" s="1"/>
  <c r="CF165" i="3"/>
  <c r="CH165" i="3"/>
  <c r="CJ165" i="3"/>
  <c r="CL165" i="3"/>
  <c r="CM165" i="3"/>
  <c r="AV21" i="27"/>
  <c r="AO9" i="27"/>
  <c r="AF21" i="27"/>
  <c r="AJ21" i="27" s="1"/>
  <c r="AZ9" i="27"/>
  <c r="AF9" i="27"/>
  <c r="AV9" i="27"/>
  <c r="BJ9" i="27"/>
  <c r="AP9" i="27"/>
  <c r="AY9" i="27"/>
  <c r="AL21" i="27"/>
  <c r="BI21" i="27"/>
  <c r="BF21" i="27"/>
  <c r="AO21" i="27"/>
  <c r="AP21" i="27"/>
  <c r="BU21" i="27" s="1"/>
  <c r="AZ21" i="27"/>
  <c r="BW21" i="27" s="1"/>
  <c r="BF9" i="27"/>
  <c r="AE9" i="27"/>
  <c r="AL9" i="27"/>
  <c r="AR178" i="3"/>
  <c r="CC177" i="3"/>
  <c r="BS178" i="3"/>
  <c r="BW178" i="3"/>
  <c r="CL178" i="3" s="1"/>
  <c r="AS178" i="3"/>
  <c r="BI178" i="3"/>
  <c r="BV178" i="3"/>
  <c r="BL178" i="3"/>
  <c r="AY178" i="3"/>
  <c r="BM178" i="3"/>
  <c r="BC178" i="3"/>
  <c r="CJ177" i="3"/>
  <c r="BQ177" i="3"/>
  <c r="BC177" i="3"/>
  <c r="AR177" i="3"/>
  <c r="AS177" i="3"/>
  <c r="BS177" i="3"/>
  <c r="BV177" i="3"/>
  <c r="BI177" i="3"/>
  <c r="BW177" i="3"/>
  <c r="BL177" i="3"/>
  <c r="AY177" i="3"/>
  <c r="AY179" i="3"/>
  <c r="BC179" i="3"/>
  <c r="CH179" i="3" s="1"/>
  <c r="BM179" i="3"/>
  <c r="CJ179" i="3" s="1"/>
  <c r="CC179" i="3"/>
  <c r="BY21" i="27"/>
  <c r="CA179" i="3"/>
  <c r="CL179" i="3"/>
  <c r="BB179" i="3"/>
  <c r="BL179" i="3"/>
  <c r="AR179" i="3"/>
  <c r="BS179" i="3"/>
  <c r="AS179" i="3"/>
  <c r="BI179" i="3"/>
  <c r="BP21" i="27"/>
  <c r="AE21" i="27"/>
  <c r="AC134" i="3"/>
  <c r="AS134" i="3" s="1"/>
  <c r="BU9" i="27" l="1"/>
  <c r="AT9" i="27"/>
  <c r="N131" i="33"/>
  <c r="O131" i="33" s="1"/>
  <c r="AT21" i="27"/>
  <c r="Q18" i="33" s="1"/>
  <c r="L131" i="33"/>
  <c r="BS21" i="27"/>
  <c r="K18" i="33" s="1"/>
  <c r="L18" i="33" s="1"/>
  <c r="U131" i="33"/>
  <c r="J18" i="33"/>
  <c r="T18" i="33"/>
  <c r="U18" i="33" s="1"/>
  <c r="V18" i="33" s="1"/>
  <c r="AF18" i="33"/>
  <c r="AG18" i="33" s="1"/>
  <c r="AH18" i="33"/>
  <c r="AI18" i="33" s="1"/>
  <c r="Y18" i="33"/>
  <c r="Z18" i="33" s="1"/>
  <c r="R15" i="33"/>
  <c r="T15" i="33"/>
  <c r="R18" i="33"/>
  <c r="S18" i="33" s="1"/>
  <c r="AC131" i="33"/>
  <c r="M18" i="33"/>
  <c r="N18" i="33" s="1"/>
  <c r="O18" i="33" s="1"/>
  <c r="AA18" i="33"/>
  <c r="AB18" i="33" s="1"/>
  <c r="AC18" i="33" s="1"/>
  <c r="AA15" i="33"/>
  <c r="AB15" i="33" s="1"/>
  <c r="AC15" i="33" s="1"/>
  <c r="M15" i="33"/>
  <c r="BD21" i="27"/>
  <c r="BZ21" i="27"/>
  <c r="AJ9" i="27"/>
  <c r="BS9" i="27"/>
  <c r="K15" i="33" s="1"/>
  <c r="BN9" i="27"/>
  <c r="BY9" i="27"/>
  <c r="BZ9" i="27"/>
  <c r="BW9" i="27"/>
  <c r="BD9" i="27"/>
  <c r="CM177" i="3"/>
  <c r="CM179" i="3"/>
  <c r="CF178" i="3"/>
  <c r="CM178" i="3"/>
  <c r="CA178" i="3"/>
  <c r="AW178" i="3"/>
  <c r="BQ179" i="3"/>
  <c r="BG178" i="3"/>
  <c r="CH178" i="3"/>
  <c r="BQ178" i="3"/>
  <c r="CJ178" i="3"/>
  <c r="CH177" i="3"/>
  <c r="BG177" i="3"/>
  <c r="AW177" i="3"/>
  <c r="CF177" i="3"/>
  <c r="CA177" i="3"/>
  <c r="CL177" i="3"/>
  <c r="BG179" i="3"/>
  <c r="CF179" i="3"/>
  <c r="AW179" i="3"/>
  <c r="P25" i="27"/>
  <c r="N15" i="33" l="1"/>
  <c r="S15" i="33"/>
  <c r="U15" i="33"/>
  <c r="AE18" i="33"/>
  <c r="V131" i="33"/>
  <c r="L15" i="33"/>
  <c r="J15" i="33"/>
  <c r="X15" i="33"/>
  <c r="Y15" i="33"/>
  <c r="Z15" i="33" s="1"/>
  <c r="X18" i="33"/>
  <c r="AF15" i="33"/>
  <c r="AG15" i="33" s="1"/>
  <c r="AE15" i="33"/>
  <c r="Q15" i="33"/>
  <c r="AO176" i="3"/>
  <c r="AN176" i="3"/>
  <c r="O15" i="33" l="1"/>
  <c r="V15" i="33"/>
  <c r="BW176" i="3"/>
  <c r="BI176" i="3"/>
  <c r="BM176" i="3"/>
  <c r="BC176" i="3"/>
  <c r="AY176" i="3"/>
  <c r="CC176" i="3"/>
  <c r="AS176" i="3"/>
  <c r="BS176" i="3"/>
  <c r="BV176" i="3"/>
  <c r="AR176" i="3"/>
  <c r="BL176" i="3"/>
  <c r="BB176" i="3"/>
  <c r="CK174" i="3"/>
  <c r="AP18" i="38" s="1"/>
  <c r="CI174" i="3"/>
  <c r="AC18" i="38" s="1"/>
  <c r="CG174" i="3"/>
  <c r="CE174" i="3"/>
  <c r="K282" i="33" s="1"/>
  <c r="L282" i="33" s="1"/>
  <c r="C18" i="38" s="1"/>
  <c r="CB174" i="3"/>
  <c r="AH282" i="33" s="1"/>
  <c r="AI282" i="33" s="1"/>
  <c r="AV18" i="38" s="1"/>
  <c r="BZ174" i="3"/>
  <c r="BR174" i="3"/>
  <c r="AA282" i="33" s="1"/>
  <c r="AB282" i="33" s="1"/>
  <c r="AC282" i="33" s="1"/>
  <c r="AI18" i="38" s="1"/>
  <c r="BP174" i="3"/>
  <c r="BH174" i="3"/>
  <c r="V18" i="38" s="1"/>
  <c r="BF174" i="3"/>
  <c r="AX174" i="3"/>
  <c r="M282" i="33" s="1"/>
  <c r="AV174" i="3"/>
  <c r="CK173" i="3"/>
  <c r="AF279" i="33" s="1"/>
  <c r="AG279" i="33" s="1"/>
  <c r="CI173" i="3"/>
  <c r="Y279" i="33" s="1"/>
  <c r="Z279" i="33" s="1"/>
  <c r="CG173" i="3"/>
  <c r="R279" i="33" s="1"/>
  <c r="S279" i="33" s="1"/>
  <c r="CE173" i="3"/>
  <c r="K279" i="33" s="1"/>
  <c r="L279" i="33" s="1"/>
  <c r="CB173" i="3"/>
  <c r="AH279" i="33" s="1"/>
  <c r="AI279" i="33" s="1"/>
  <c r="BZ173" i="3"/>
  <c r="BR173" i="3"/>
  <c r="AA279" i="33" s="1"/>
  <c r="AB279" i="33" s="1"/>
  <c r="AC279" i="33" s="1"/>
  <c r="BP173" i="3"/>
  <c r="BH173" i="3"/>
  <c r="T279" i="33" s="1"/>
  <c r="U279" i="33" s="1"/>
  <c r="V279" i="33" s="1"/>
  <c r="BF173" i="3"/>
  <c r="AX173" i="3"/>
  <c r="M279" i="33" s="1"/>
  <c r="AV173" i="3"/>
  <c r="CK172" i="3"/>
  <c r="AF278" i="33" s="1"/>
  <c r="AG278" i="33" s="1"/>
  <c r="CI172" i="3"/>
  <c r="Y278" i="33" s="1"/>
  <c r="Z278" i="33" s="1"/>
  <c r="CG172" i="3"/>
  <c r="R278" i="33" s="1"/>
  <c r="S278" i="33" s="1"/>
  <c r="CE172" i="3"/>
  <c r="K278" i="33" s="1"/>
  <c r="L278" i="33" s="1"/>
  <c r="CB172" i="3"/>
  <c r="AH278" i="33" s="1"/>
  <c r="AI278" i="33" s="1"/>
  <c r="BZ172" i="3"/>
  <c r="BR172" i="3"/>
  <c r="AA278" i="33" s="1"/>
  <c r="AB278" i="33" s="1"/>
  <c r="AC278" i="33" s="1"/>
  <c r="BP172" i="3"/>
  <c r="BH172" i="3"/>
  <c r="T278" i="33" s="1"/>
  <c r="U278" i="33" s="1"/>
  <c r="V278" i="33" s="1"/>
  <c r="BF172" i="3"/>
  <c r="AX172" i="3"/>
  <c r="M278" i="33" s="1"/>
  <c r="AV172" i="3"/>
  <c r="AO174" i="3"/>
  <c r="BS174" i="3" s="1"/>
  <c r="AA123" i="33" s="1"/>
  <c r="AB123" i="33" s="1"/>
  <c r="AC123" i="33" s="1"/>
  <c r="AN174" i="3"/>
  <c r="AR174" i="3" s="1"/>
  <c r="AO173" i="3"/>
  <c r="BW173" i="3" s="1"/>
  <c r="CL173" i="3" s="1"/>
  <c r="AN173" i="3"/>
  <c r="AR173" i="3" s="1"/>
  <c r="AO172" i="3"/>
  <c r="BW172" i="3" s="1"/>
  <c r="CL172" i="3" s="1"/>
  <c r="AN172" i="3"/>
  <c r="BB172" i="3" s="1"/>
  <c r="AO171" i="3"/>
  <c r="CC171" i="3" s="1"/>
  <c r="AN171" i="3"/>
  <c r="BL171" i="3" s="1"/>
  <c r="CK171" i="3"/>
  <c r="AF277" i="33" s="1"/>
  <c r="AG277" i="33" s="1"/>
  <c r="CI171" i="3"/>
  <c r="Y277" i="33" s="1"/>
  <c r="Z277" i="33" s="1"/>
  <c r="CG171" i="3"/>
  <c r="R277" i="33" s="1"/>
  <c r="S277" i="33" s="1"/>
  <c r="CE171" i="3"/>
  <c r="K277" i="33" s="1"/>
  <c r="L277" i="33" s="1"/>
  <c r="CB171" i="3"/>
  <c r="AH277" i="33" s="1"/>
  <c r="AI277" i="33" s="1"/>
  <c r="BZ171" i="3"/>
  <c r="BR171" i="3"/>
  <c r="AA277" i="33" s="1"/>
  <c r="AB277" i="33" s="1"/>
  <c r="AC277" i="33" s="1"/>
  <c r="BP171" i="3"/>
  <c r="BH171" i="3"/>
  <c r="T277" i="33" s="1"/>
  <c r="U277" i="33" s="1"/>
  <c r="V277" i="33" s="1"/>
  <c r="BF171" i="3"/>
  <c r="AX171" i="3"/>
  <c r="M277" i="33" s="1"/>
  <c r="AV171" i="3"/>
  <c r="CK141" i="3"/>
  <c r="AF294" i="33" s="1"/>
  <c r="AG294" i="33" s="1"/>
  <c r="CI141" i="3"/>
  <c r="Y294" i="33" s="1"/>
  <c r="Z294" i="33" s="1"/>
  <c r="CG141" i="3"/>
  <c r="R294" i="33" s="1"/>
  <c r="S294" i="33" s="1"/>
  <c r="CE141" i="3"/>
  <c r="K294" i="33" s="1"/>
  <c r="CB141" i="3"/>
  <c r="AH294" i="33" s="1"/>
  <c r="AI294" i="33" s="1"/>
  <c r="BZ141" i="3"/>
  <c r="BR141" i="3"/>
  <c r="AA294" i="33" s="1"/>
  <c r="AB294" i="33" s="1"/>
  <c r="AC294" i="33" s="1"/>
  <c r="BP141" i="3"/>
  <c r="BH141" i="3"/>
  <c r="T294" i="33" s="1"/>
  <c r="U294" i="33" s="1"/>
  <c r="V294" i="33" s="1"/>
  <c r="BF141" i="3"/>
  <c r="AX141" i="3"/>
  <c r="M294" i="33" s="1"/>
  <c r="N294" i="33" s="1"/>
  <c r="AV141" i="3"/>
  <c r="AO141" i="3"/>
  <c r="CC141" i="3" s="1"/>
  <c r="AN141" i="3"/>
  <c r="BB141" i="3" s="1"/>
  <c r="CK133" i="3"/>
  <c r="AF276" i="33" s="1"/>
  <c r="AG276" i="33" s="1"/>
  <c r="CI133" i="3"/>
  <c r="Y276" i="33" s="1"/>
  <c r="Z276" i="33" s="1"/>
  <c r="CG133" i="3"/>
  <c r="R276" i="33" s="1"/>
  <c r="S276" i="33" s="1"/>
  <c r="CE133" i="3"/>
  <c r="K276" i="33" s="1"/>
  <c r="CB133" i="3"/>
  <c r="AH276" i="33" s="1"/>
  <c r="AI276" i="33" s="1"/>
  <c r="BZ133" i="3"/>
  <c r="BR133" i="3"/>
  <c r="AA276" i="33" s="1"/>
  <c r="AB276" i="33" s="1"/>
  <c r="AC276" i="33" s="1"/>
  <c r="BP133" i="3"/>
  <c r="BH133" i="3"/>
  <c r="T276" i="33" s="1"/>
  <c r="U276" i="33" s="1"/>
  <c r="V276" i="33" s="1"/>
  <c r="BF133" i="3"/>
  <c r="AX133" i="3"/>
  <c r="M276" i="33" s="1"/>
  <c r="N276" i="33" s="1"/>
  <c r="AV133" i="3"/>
  <c r="AO133" i="3"/>
  <c r="CC133" i="3" s="1"/>
  <c r="AN133" i="3"/>
  <c r="BB133" i="3" s="1"/>
  <c r="CK49" i="3"/>
  <c r="AF249" i="33" s="1"/>
  <c r="AG249" i="33" s="1"/>
  <c r="CI49" i="3"/>
  <c r="Y249" i="33" s="1"/>
  <c r="Z249" i="33" s="1"/>
  <c r="CG49" i="3"/>
  <c r="R249" i="33" s="1"/>
  <c r="S249" i="33" s="1"/>
  <c r="CE49" i="3"/>
  <c r="K249" i="33" s="1"/>
  <c r="CB49" i="3"/>
  <c r="AH249" i="33" s="1"/>
  <c r="AI249" i="33" s="1"/>
  <c r="BZ49" i="3"/>
  <c r="BR49" i="3"/>
  <c r="AA249" i="33" s="1"/>
  <c r="AB249" i="33" s="1"/>
  <c r="AC249" i="33" s="1"/>
  <c r="BP49" i="3"/>
  <c r="BH49" i="3"/>
  <c r="T249" i="33" s="1"/>
  <c r="U249" i="33" s="1"/>
  <c r="V249" i="33" s="1"/>
  <c r="BF49" i="3"/>
  <c r="AX49" i="3"/>
  <c r="M249" i="33" s="1"/>
  <c r="N249" i="33" s="1"/>
  <c r="AV49" i="3"/>
  <c r="AO49" i="3"/>
  <c r="BM49" i="3" s="1"/>
  <c r="AN49" i="3"/>
  <c r="BL49" i="3" s="1"/>
  <c r="F18" i="38" l="1"/>
  <c r="E18" i="38"/>
  <c r="D18" i="38"/>
  <c r="H18" i="38"/>
  <c r="G18" i="38"/>
  <c r="AV13" i="38"/>
  <c r="BA13" i="38" s="1"/>
  <c r="C13" i="38"/>
  <c r="P13" i="38"/>
  <c r="U13" i="38" s="1"/>
  <c r="AJ18" i="38"/>
  <c r="AK18" i="38"/>
  <c r="AL18" i="38"/>
  <c r="AN18" i="38"/>
  <c r="AM18" i="38"/>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77" i="33"/>
  <c r="O277" i="33" s="1"/>
  <c r="N279" i="33"/>
  <c r="O279" i="33" s="1"/>
  <c r="N282" i="33"/>
  <c r="O282" i="33" s="1"/>
  <c r="I18" i="38" s="1"/>
  <c r="N278" i="33"/>
  <c r="O278" i="33" s="1"/>
  <c r="AW176" i="3"/>
  <c r="CF176" i="3"/>
  <c r="CM176" i="3"/>
  <c r="BG176" i="3"/>
  <c r="CH176" i="3"/>
  <c r="BQ176" i="3"/>
  <c r="CJ176" i="3"/>
  <c r="CA176" i="3"/>
  <c r="CL176" i="3"/>
  <c r="AS171" i="3"/>
  <c r="BM171" i="3"/>
  <c r="CJ171" i="3" s="1"/>
  <c r="AY171" i="3"/>
  <c r="BS171" i="3"/>
  <c r="BC171" i="3"/>
  <c r="CH171" i="3" s="1"/>
  <c r="BW171" i="3"/>
  <c r="CL171" i="3" s="1"/>
  <c r="AR172" i="3"/>
  <c r="BI171" i="3"/>
  <c r="BC172" i="3"/>
  <c r="CH172" i="3" s="1"/>
  <c r="CC172" i="3"/>
  <c r="AY172" i="3"/>
  <c r="BL173" i="3"/>
  <c r="BV174" i="3"/>
  <c r="BM172" i="3"/>
  <c r="BV173" i="3"/>
  <c r="BM173" i="3"/>
  <c r="AS172" i="3"/>
  <c r="BS172" i="3"/>
  <c r="AY173" i="3"/>
  <c r="CC173" i="3"/>
  <c r="BL174" i="3"/>
  <c r="BI174" i="3"/>
  <c r="T123" i="33" s="1"/>
  <c r="U123" i="33" s="1"/>
  <c r="V123" i="33" s="1"/>
  <c r="BV172" i="3"/>
  <c r="BB173" i="3"/>
  <c r="AY174" i="3"/>
  <c r="M123" i="33" s="1"/>
  <c r="BM174" i="3"/>
  <c r="AS174" i="3"/>
  <c r="BW174" i="3"/>
  <c r="CL174" i="3" s="1"/>
  <c r="BI172" i="3"/>
  <c r="BC173" i="3"/>
  <c r="CH173" i="3" s="1"/>
  <c r="BB174" i="3"/>
  <c r="CC174" i="3"/>
  <c r="AH123" i="33" s="1"/>
  <c r="AI123" i="33" s="1"/>
  <c r="BL172" i="3"/>
  <c r="BS173" i="3"/>
  <c r="BC174" i="3"/>
  <c r="AS173" i="3"/>
  <c r="BI173" i="3"/>
  <c r="CA173" i="3"/>
  <c r="CA172" i="3"/>
  <c r="BB171" i="3"/>
  <c r="AR171" i="3"/>
  <c r="BV171" i="3"/>
  <c r="BS141" i="3"/>
  <c r="AS141" i="3"/>
  <c r="BW141" i="3"/>
  <c r="CL141" i="3" s="1"/>
  <c r="BI141" i="3"/>
  <c r="AR141" i="3"/>
  <c r="BV141" i="3"/>
  <c r="BL141" i="3"/>
  <c r="AY141" i="3"/>
  <c r="BM141" i="3"/>
  <c r="BC141" i="3"/>
  <c r="AR133" i="3"/>
  <c r="BS133" i="3"/>
  <c r="BV133" i="3"/>
  <c r="BI133" i="3"/>
  <c r="BW133" i="3"/>
  <c r="BL133" i="3"/>
  <c r="AS133" i="3"/>
  <c r="AY133" i="3"/>
  <c r="BM133" i="3"/>
  <c r="BC133" i="3"/>
  <c r="CJ49" i="3"/>
  <c r="BQ49" i="3"/>
  <c r="AS49" i="3"/>
  <c r="BS49" i="3"/>
  <c r="BV49" i="3"/>
  <c r="BB49" i="3"/>
  <c r="BC49" i="3"/>
  <c r="CC49" i="3"/>
  <c r="AR49" i="3"/>
  <c r="BI49" i="3"/>
  <c r="BW49" i="3"/>
  <c r="AY49" i="3"/>
  <c r="W13" i="38" l="1"/>
  <c r="X13" i="38"/>
  <c r="Z13" i="38"/>
  <c r="AA13" i="38"/>
  <c r="Y13" i="38"/>
  <c r="N18" i="38"/>
  <c r="M18" i="38"/>
  <c r="L18" i="38"/>
  <c r="K18" i="38"/>
  <c r="J18" i="38"/>
  <c r="E13" i="38"/>
  <c r="H13" i="38"/>
  <c r="F13" i="38"/>
  <c r="G13" i="38"/>
  <c r="D13" i="38"/>
  <c r="S13" i="38"/>
  <c r="Q13" i="38"/>
  <c r="T13" i="38"/>
  <c r="R13" i="38"/>
  <c r="AY13" i="38"/>
  <c r="AW13" i="38"/>
  <c r="AZ13" i="38"/>
  <c r="AX13" i="38"/>
  <c r="AJ13" i="38"/>
  <c r="AM13" i="38"/>
  <c r="AN13" i="38"/>
  <c r="AL13" i="38"/>
  <c r="AK13" i="38"/>
  <c r="I13" i="38"/>
  <c r="AH13" i="38"/>
  <c r="AD13" i="38"/>
  <c r="AF13" i="38"/>
  <c r="AE13" i="38"/>
  <c r="AG13" i="38"/>
  <c r="AS13" i="38"/>
  <c r="AT13" i="38"/>
  <c r="AQ13" i="38"/>
  <c r="AR13" i="38"/>
  <c r="AU13" i="38"/>
  <c r="N123" i="33"/>
  <c r="O123" i="33" s="1"/>
  <c r="AW141" i="3"/>
  <c r="CM141" i="3"/>
  <c r="CM173" i="3"/>
  <c r="CM133" i="3"/>
  <c r="CM174" i="3"/>
  <c r="CM49" i="3"/>
  <c r="CM172" i="3"/>
  <c r="CF171" i="3"/>
  <c r="CM171" i="3"/>
  <c r="AW171" i="3"/>
  <c r="BG171" i="3"/>
  <c r="CA171" i="3"/>
  <c r="BQ171" i="3"/>
  <c r="BG172" i="3"/>
  <c r="CA141" i="3"/>
  <c r="CF141" i="3"/>
  <c r="CJ172" i="3"/>
  <c r="BQ172" i="3"/>
  <c r="CA174" i="3"/>
  <c r="AE123" i="33" s="1"/>
  <c r="CF173" i="3"/>
  <c r="AW173" i="3"/>
  <c r="CH174" i="3"/>
  <c r="BG174" i="3"/>
  <c r="Q123" i="33" s="1"/>
  <c r="AW174" i="3"/>
  <c r="J123" i="33" s="1"/>
  <c r="CF174" i="3"/>
  <c r="K123" i="33" s="1"/>
  <c r="L123" i="33" s="1"/>
  <c r="CJ174" i="3"/>
  <c r="BQ174" i="3"/>
  <c r="X123" i="33" s="1"/>
  <c r="CF172" i="3"/>
  <c r="AW172" i="3"/>
  <c r="BG173" i="3"/>
  <c r="CJ173" i="3"/>
  <c r="BQ173" i="3"/>
  <c r="CH141" i="3"/>
  <c r="BG141" i="3"/>
  <c r="BQ141" i="3"/>
  <c r="CJ141" i="3"/>
  <c r="CL133" i="3"/>
  <c r="CA133" i="3"/>
  <c r="CH133" i="3"/>
  <c r="BG133" i="3"/>
  <c r="AW133" i="3"/>
  <c r="CF133" i="3"/>
  <c r="BQ133" i="3"/>
  <c r="CJ133" i="3"/>
  <c r="CA49" i="3"/>
  <c r="CL49" i="3"/>
  <c r="AW49" i="3"/>
  <c r="CF49" i="3"/>
  <c r="CH49" i="3"/>
  <c r="BG49" i="3"/>
  <c r="M13" i="38" l="1"/>
  <c r="L13" i="38"/>
  <c r="K13" i="38"/>
  <c r="J13" i="38"/>
  <c r="N13" i="38"/>
  <c r="CK42" i="3"/>
  <c r="AF244" i="33" s="1"/>
  <c r="AG244" i="33" s="1"/>
  <c r="CI42" i="3"/>
  <c r="Y244" i="33" s="1"/>
  <c r="Z244" i="33" s="1"/>
  <c r="CG42" i="3"/>
  <c r="R244" i="33" s="1"/>
  <c r="S244" i="33" s="1"/>
  <c r="CE42" i="3"/>
  <c r="K244" i="33" s="1"/>
  <c r="CB42" i="3"/>
  <c r="AH244" i="33" s="1"/>
  <c r="AI244" i="33" s="1"/>
  <c r="BZ42" i="3"/>
  <c r="BR42" i="3"/>
  <c r="AA244" i="33" s="1"/>
  <c r="AB244" i="33" s="1"/>
  <c r="AC244" i="33" s="1"/>
  <c r="BP42" i="3"/>
  <c r="BH42" i="3"/>
  <c r="T244" i="33" s="1"/>
  <c r="U244" i="33" s="1"/>
  <c r="V244" i="33" s="1"/>
  <c r="BF42" i="3"/>
  <c r="AX42" i="3"/>
  <c r="M244" i="33" s="1"/>
  <c r="N244" i="33" s="1"/>
  <c r="AO42" i="3"/>
  <c r="CC42" i="3" s="1"/>
  <c r="AN42" i="3"/>
  <c r="BB42" i="3" s="1"/>
  <c r="CK18" i="3"/>
  <c r="AF239" i="33" s="1"/>
  <c r="AG239" i="33" s="1"/>
  <c r="CI18" i="3"/>
  <c r="Y239" i="33" s="1"/>
  <c r="Z239" i="33" s="1"/>
  <c r="CG18" i="3"/>
  <c r="R239" i="33" s="1"/>
  <c r="S239" i="33" s="1"/>
  <c r="CE18" i="3"/>
  <c r="K239" i="33" s="1"/>
  <c r="BZ18" i="3"/>
  <c r="BP18" i="3"/>
  <c r="BF18" i="3"/>
  <c r="AV18" i="3"/>
  <c r="AN18" i="3"/>
  <c r="BB18" i="3" s="1"/>
  <c r="AX18" i="3"/>
  <c r="M239" i="33" s="1"/>
  <c r="N239" i="33" s="1"/>
  <c r="BH18" i="3"/>
  <c r="T239" i="33" s="1"/>
  <c r="U239" i="33" s="1"/>
  <c r="V239" i="33" s="1"/>
  <c r="BR18" i="3"/>
  <c r="AA239" i="33" s="1"/>
  <c r="AB239" i="33" s="1"/>
  <c r="AC239" i="33" s="1"/>
  <c r="CB18" i="3"/>
  <c r="AH239" i="33" s="1"/>
  <c r="AI239" i="33" s="1"/>
  <c r="AO18" i="3"/>
  <c r="BS18" i="3" s="1"/>
  <c r="AS18" i="3" l="1"/>
  <c r="BI18" i="3"/>
  <c r="AY18" i="3"/>
  <c r="BW18" i="3"/>
  <c r="CL18" i="3" s="1"/>
  <c r="BM18" i="3"/>
  <c r="BC18" i="3"/>
  <c r="AR42" i="3"/>
  <c r="BV42" i="3"/>
  <c r="AS42" i="3"/>
  <c r="AW42" i="3" s="1"/>
  <c r="BS42" i="3"/>
  <c r="BI42" i="3"/>
  <c r="BW42" i="3"/>
  <c r="BL42" i="3"/>
  <c r="AY42" i="3"/>
  <c r="BM42" i="3"/>
  <c r="BC42" i="3"/>
  <c r="AR18" i="3"/>
  <c r="BV18" i="3"/>
  <c r="BL18" i="3"/>
  <c r="CC18" i="3"/>
  <c r="CM42" i="3" l="1"/>
  <c r="CF18" i="3"/>
  <c r="CM18" i="3"/>
  <c r="CA18" i="3"/>
  <c r="AW18" i="3"/>
  <c r="BG18" i="3"/>
  <c r="CH18" i="3"/>
  <c r="BQ18" i="3"/>
  <c r="CJ18" i="3"/>
  <c r="BQ42" i="3"/>
  <c r="CJ42" i="3"/>
  <c r="CL42" i="3"/>
  <c r="CA42" i="3"/>
  <c r="CF42" i="3"/>
  <c r="CH42" i="3"/>
  <c r="BG42"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40" i="33" s="1"/>
  <c r="AG240" i="33" s="1"/>
  <c r="CI17" i="3"/>
  <c r="Y240" i="33" s="1"/>
  <c r="Z240" i="33" s="1"/>
  <c r="CG17" i="3"/>
  <c r="R240" i="33" s="1"/>
  <c r="K240" i="33"/>
  <c r="CB17" i="3"/>
  <c r="AH240" i="33" s="1"/>
  <c r="AI240" i="33" s="1"/>
  <c r="BZ17" i="3"/>
  <c r="BR17" i="3"/>
  <c r="AA240" i="33" s="1"/>
  <c r="AB240" i="33" s="1"/>
  <c r="AC240" i="33" s="1"/>
  <c r="BP17" i="3"/>
  <c r="BH17" i="3"/>
  <c r="T240" i="33" s="1"/>
  <c r="U240" i="33" s="1"/>
  <c r="BF17" i="3"/>
  <c r="AX17" i="3"/>
  <c r="M240" i="33" s="1"/>
  <c r="N240" i="33" s="1"/>
  <c r="AV17" i="3"/>
  <c r="AN17" i="3"/>
  <c r="BL17" i="3" s="1"/>
  <c r="AO17" i="3"/>
  <c r="BS17" i="3" s="1"/>
  <c r="K16" i="31" l="1"/>
  <c r="BB17" i="3"/>
  <c r="BI17" i="3"/>
  <c r="BW17" i="3"/>
  <c r="BM17" i="3"/>
  <c r="AR17" i="3"/>
  <c r="BV17" i="3"/>
  <c r="AS17" i="3"/>
  <c r="AY17" i="3"/>
  <c r="CC17" i="3"/>
  <c r="BC17" i="3"/>
  <c r="CH17" i="3" s="1"/>
  <c r="CK170" i="3"/>
  <c r="AF175" i="33" s="1"/>
  <c r="AG175" i="33" s="1"/>
  <c r="CI170" i="3"/>
  <c r="Y175" i="33" s="1"/>
  <c r="Z175" i="33" s="1"/>
  <c r="CG170" i="3"/>
  <c r="R175" i="33" s="1"/>
  <c r="S175" i="33" s="1"/>
  <c r="CE170" i="3"/>
  <c r="K175" i="33" s="1"/>
  <c r="L175" i="33" s="1"/>
  <c r="CB170" i="3"/>
  <c r="AH175" i="33" s="1"/>
  <c r="AI175" i="33" s="1"/>
  <c r="BZ170" i="3"/>
  <c r="BR170" i="3"/>
  <c r="AA175" i="33" s="1"/>
  <c r="AB175" i="33" s="1"/>
  <c r="AC175" i="33" s="1"/>
  <c r="BP170" i="3"/>
  <c r="BH170" i="3"/>
  <c r="T175" i="33" s="1"/>
  <c r="U175" i="33" s="1"/>
  <c r="V175" i="33" s="1"/>
  <c r="BF170" i="3"/>
  <c r="AX170" i="3"/>
  <c r="M175" i="33" s="1"/>
  <c r="AV170" i="3"/>
  <c r="AO170" i="3"/>
  <c r="CC170" i="3" s="1"/>
  <c r="AN170" i="3"/>
  <c r="BB170" i="3" s="1"/>
  <c r="CK168" i="3"/>
  <c r="AF173" i="33" s="1"/>
  <c r="CI168" i="3"/>
  <c r="Y173" i="33" s="1"/>
  <c r="Z173" i="33" s="1"/>
  <c r="CG168" i="3"/>
  <c r="R173" i="33" s="1"/>
  <c r="CE168" i="3"/>
  <c r="K173" i="33" s="1"/>
  <c r="CB168" i="3"/>
  <c r="AH173" i="33" s="1"/>
  <c r="AI173" i="33" s="1"/>
  <c r="BZ168" i="3"/>
  <c r="BR168" i="3"/>
  <c r="AA173" i="33" s="1"/>
  <c r="AB173" i="33" s="1"/>
  <c r="AC173" i="33" s="1"/>
  <c r="BP168" i="3"/>
  <c r="BH168" i="3"/>
  <c r="T173" i="33" s="1"/>
  <c r="U173" i="33" s="1"/>
  <c r="BF168" i="3"/>
  <c r="AX168" i="3"/>
  <c r="M173" i="33" s="1"/>
  <c r="N173" i="33" s="1"/>
  <c r="AV168" i="3"/>
  <c r="AO168" i="3"/>
  <c r="CC168" i="3" s="1"/>
  <c r="AN168" i="3"/>
  <c r="BB168" i="3" s="1"/>
  <c r="CK166" i="3"/>
  <c r="AF171" i="33" s="1"/>
  <c r="CI166" i="3"/>
  <c r="Y171" i="33" s="1"/>
  <c r="Z171" i="33" s="1"/>
  <c r="CG166" i="3"/>
  <c r="R171" i="33" s="1"/>
  <c r="CE166" i="3"/>
  <c r="K171" i="33" s="1"/>
  <c r="CB166" i="3"/>
  <c r="AH171" i="33" s="1"/>
  <c r="AI171" i="33" s="1"/>
  <c r="BZ166" i="3"/>
  <c r="BR166" i="3"/>
  <c r="AA171" i="33" s="1"/>
  <c r="AB171" i="33" s="1"/>
  <c r="AC171" i="33" s="1"/>
  <c r="BP166" i="3"/>
  <c r="BH166" i="3"/>
  <c r="T171" i="33" s="1"/>
  <c r="U171" i="33" s="1"/>
  <c r="BF166" i="3"/>
  <c r="AX166" i="3"/>
  <c r="M171" i="33" s="1"/>
  <c r="N171" i="33" s="1"/>
  <c r="AV166" i="3"/>
  <c r="AO166" i="3"/>
  <c r="AN166" i="3"/>
  <c r="BB166" i="3" s="1"/>
  <c r="BS166" i="3" l="1"/>
  <c r="CC188" i="3"/>
  <c r="N175" i="33"/>
  <c r="O175" i="33" s="1"/>
  <c r="AW17" i="3"/>
  <c r="CM17" i="3"/>
  <c r="BG17" i="3"/>
  <c r="BV166" i="3"/>
  <c r="BI166" i="3"/>
  <c r="AY166" i="3"/>
  <c r="CF17" i="3"/>
  <c r="CJ17" i="3"/>
  <c r="BQ17" i="3"/>
  <c r="CA17" i="3"/>
  <c r="CL17" i="3"/>
  <c r="BM166" i="3"/>
  <c r="BQ166" i="3" s="1"/>
  <c r="BS168" i="3"/>
  <c r="AY168" i="3"/>
  <c r="AS168" i="3"/>
  <c r="AW168" i="3" s="1"/>
  <c r="BW168" i="3"/>
  <c r="CL168" i="3" s="1"/>
  <c r="BI168" i="3"/>
  <c r="BM168" i="3"/>
  <c r="BQ168" i="3" s="1"/>
  <c r="BL168" i="3"/>
  <c r="AR168" i="3"/>
  <c r="BV168" i="3"/>
  <c r="BW166" i="3"/>
  <c r="AR170" i="3"/>
  <c r="AS170" i="3"/>
  <c r="BS170" i="3"/>
  <c r="BL166" i="3"/>
  <c r="BV170" i="3"/>
  <c r="BC166" i="3"/>
  <c r="CC166" i="3"/>
  <c r="BI170" i="3"/>
  <c r="BW170" i="3"/>
  <c r="AR166" i="3"/>
  <c r="BL170" i="3"/>
  <c r="AS166" i="3"/>
  <c r="AW166" i="3" s="1"/>
  <c r="BC168" i="3"/>
  <c r="AY170" i="3"/>
  <c r="BM170" i="3"/>
  <c r="BC170" i="3"/>
  <c r="CL166" i="3" l="1"/>
  <c r="CA188" i="3"/>
  <c r="CM170" i="3"/>
  <c r="CF168" i="3"/>
  <c r="CM168" i="3"/>
  <c r="CM166" i="3"/>
  <c r="CA168" i="3"/>
  <c r="CJ166" i="3"/>
  <c r="CJ168" i="3"/>
  <c r="CA166" i="3"/>
  <c r="BQ170" i="3"/>
  <c r="CJ170" i="3"/>
  <c r="BG168" i="3"/>
  <c r="CH168" i="3"/>
  <c r="CL170" i="3"/>
  <c r="CA170" i="3"/>
  <c r="CH170" i="3"/>
  <c r="BG170" i="3"/>
  <c r="AW170" i="3"/>
  <c r="CF170" i="3"/>
  <c r="CF166" i="3"/>
  <c r="CH166" i="3"/>
  <c r="BG166" i="3"/>
  <c r="BC9" i="3" l="1"/>
  <c r="P15" i="27" l="1"/>
  <c r="AC23" i="3" l="1"/>
  <c r="CL164" i="3" l="1"/>
  <c r="CK164" i="3"/>
  <c r="AF250" i="33" s="1"/>
  <c r="CJ164" i="3"/>
  <c r="CI164" i="3"/>
  <c r="Y250" i="33" s="1"/>
  <c r="Z250" i="33" s="1"/>
  <c r="CH164" i="3"/>
  <c r="CG164" i="3"/>
  <c r="R250" i="33" s="1"/>
  <c r="S250" i="33" s="1"/>
  <c r="CF164" i="3"/>
  <c r="CE164" i="3"/>
  <c r="K250" i="33" s="1"/>
  <c r="L250" i="33" s="1"/>
  <c r="CB164" i="3"/>
  <c r="AH250" i="33" s="1"/>
  <c r="AI250" i="33" s="1"/>
  <c r="CA164" i="3"/>
  <c r="BZ164" i="3"/>
  <c r="BR164" i="3"/>
  <c r="AA250" i="33" s="1"/>
  <c r="AB250" i="33" s="1"/>
  <c r="AC250" i="33" s="1"/>
  <c r="BQ164" i="3"/>
  <c r="BP164" i="3"/>
  <c r="BH164" i="3"/>
  <c r="T250" i="33" s="1"/>
  <c r="U250" i="33" s="1"/>
  <c r="V250" i="33" s="1"/>
  <c r="BG164" i="3"/>
  <c r="BF164" i="3"/>
  <c r="AX164" i="3"/>
  <c r="AW164" i="3"/>
  <c r="AV164" i="3"/>
  <c r="AO164" i="3"/>
  <c r="CC164" i="3" s="1"/>
  <c r="AN164" i="3"/>
  <c r="AR164" i="3" s="1"/>
  <c r="N200" i="33" l="1"/>
  <c r="M250" i="33"/>
  <c r="N250" i="33" s="1"/>
  <c r="O250" i="33" s="1"/>
  <c r="AY164" i="3"/>
  <c r="BI164" i="3"/>
  <c r="BL164" i="3"/>
  <c r="BS164" i="3"/>
  <c r="BV164" i="3"/>
  <c r="BB164" i="3"/>
  <c r="CL120" i="3" l="1"/>
  <c r="CK120" i="3"/>
  <c r="AF274" i="33" s="1"/>
  <c r="CJ120" i="3"/>
  <c r="CI120" i="3"/>
  <c r="Y274" i="33" s="1"/>
  <c r="Z274" i="33" s="1"/>
  <c r="CH120" i="3"/>
  <c r="CG120" i="3"/>
  <c r="R274" i="33" s="1"/>
  <c r="CF120" i="3"/>
  <c r="CE120" i="3"/>
  <c r="K274" i="33" s="1"/>
  <c r="CB120" i="3"/>
  <c r="AH274" i="33" s="1"/>
  <c r="AI274" i="33" s="1"/>
  <c r="CA120" i="3"/>
  <c r="BZ120" i="3"/>
  <c r="CL119" i="3"/>
  <c r="CK119" i="3"/>
  <c r="AF273" i="33" s="1"/>
  <c r="CJ119" i="3"/>
  <c r="CI119" i="3"/>
  <c r="Y273" i="33" s="1"/>
  <c r="Z273" i="33" s="1"/>
  <c r="CH119" i="3"/>
  <c r="CG119" i="3"/>
  <c r="R273" i="33" s="1"/>
  <c r="CF119" i="3"/>
  <c r="CE119" i="3"/>
  <c r="K273" i="33" s="1"/>
  <c r="CB119" i="3"/>
  <c r="AH273" i="33" s="1"/>
  <c r="AI273" i="33" s="1"/>
  <c r="CA119" i="3"/>
  <c r="BZ119" i="3"/>
  <c r="BR120" i="3"/>
  <c r="AA274" i="33" s="1"/>
  <c r="AB274" i="33" s="1"/>
  <c r="AC274" i="33" s="1"/>
  <c r="BQ120" i="3"/>
  <c r="BP120" i="3"/>
  <c r="BR119" i="3"/>
  <c r="AA273" i="33" s="1"/>
  <c r="AB273" i="33" s="1"/>
  <c r="AC273" i="33" s="1"/>
  <c r="BQ119" i="3"/>
  <c r="BP119" i="3"/>
  <c r="AX120" i="3"/>
  <c r="M274" i="33" s="1"/>
  <c r="N274" i="33" s="1"/>
  <c r="AW120" i="3"/>
  <c r="AV120" i="3"/>
  <c r="AX119" i="3"/>
  <c r="M273" i="33" s="1"/>
  <c r="N273" i="33" s="1"/>
  <c r="AW119" i="3"/>
  <c r="AV119" i="3"/>
  <c r="BH120" i="3"/>
  <c r="T274" i="33" s="1"/>
  <c r="U274" i="33" s="1"/>
  <c r="BG120" i="3"/>
  <c r="BF120" i="3"/>
  <c r="BH119" i="3"/>
  <c r="T273" i="33" s="1"/>
  <c r="U273" i="33" s="1"/>
  <c r="BG119" i="3"/>
  <c r="BF119" i="3"/>
  <c r="AO120" i="3"/>
  <c r="BS120" i="3" s="1"/>
  <c r="AN120" i="3"/>
  <c r="BB120" i="3" s="1"/>
  <c r="AO119" i="3"/>
  <c r="AY119" i="3" s="1"/>
  <c r="AN119" i="3"/>
  <c r="BV119" i="3" s="1"/>
  <c r="AY120" i="3" l="1"/>
  <c r="BV120" i="3"/>
  <c r="AR120" i="3"/>
  <c r="BI119" i="3"/>
  <c r="BB119" i="3"/>
  <c r="BS119" i="3"/>
  <c r="CC120" i="3"/>
  <c r="BI120" i="3"/>
  <c r="BL120" i="3"/>
  <c r="AR119" i="3"/>
  <c r="CC119" i="3"/>
  <c r="BL119" i="3"/>
  <c r="BW50" i="3" l="1"/>
  <c r="CB117" i="3" l="1"/>
  <c r="CA117" i="3"/>
  <c r="BZ117" i="3"/>
  <c r="CB116" i="3"/>
  <c r="CA116" i="3"/>
  <c r="BZ116" i="3"/>
  <c r="CC115" i="3"/>
  <c r="CB115" i="3"/>
  <c r="BZ115" i="3"/>
  <c r="CC114" i="3"/>
  <c r="CB114" i="3"/>
  <c r="AH346" i="33" s="1"/>
  <c r="AI346" i="33" s="1"/>
  <c r="CA114" i="3"/>
  <c r="AE117" i="33" s="1"/>
  <c r="BZ114" i="3"/>
  <c r="CC113" i="3"/>
  <c r="CB113" i="3"/>
  <c r="CA113" i="3"/>
  <c r="BZ113" i="3"/>
  <c r="CL117" i="3"/>
  <c r="CK117" i="3"/>
  <c r="CJ117" i="3"/>
  <c r="Y120" i="33" s="1"/>
  <c r="CI117" i="3"/>
  <c r="Y350" i="33" s="1"/>
  <c r="CH117" i="3"/>
  <c r="CG117" i="3"/>
  <c r="CF117" i="3"/>
  <c r="K120" i="33" s="1"/>
  <c r="CE117" i="3"/>
  <c r="K350" i="33" s="1"/>
  <c r="CL116" i="3"/>
  <c r="CK116" i="3"/>
  <c r="CJ116" i="3"/>
  <c r="Y119" i="33" s="1"/>
  <c r="CI116" i="3"/>
  <c r="Y349" i="33" s="1"/>
  <c r="CH116" i="3"/>
  <c r="CG116" i="3"/>
  <c r="CF116" i="3"/>
  <c r="K119" i="33" s="1"/>
  <c r="CE116" i="3"/>
  <c r="K349" i="33" s="1"/>
  <c r="CK115" i="3"/>
  <c r="CJ115" i="3"/>
  <c r="Y118" i="33" s="1"/>
  <c r="CI115" i="3"/>
  <c r="Y348" i="33" s="1"/>
  <c r="CG115" i="3"/>
  <c r="CF115" i="3"/>
  <c r="K118" i="33" s="1"/>
  <c r="CE115" i="3"/>
  <c r="K348" i="33" s="1"/>
  <c r="CL114" i="3"/>
  <c r="AF117" i="33" s="1"/>
  <c r="CK114" i="3"/>
  <c r="AF346" i="33" s="1"/>
  <c r="CI114" i="3"/>
  <c r="CH114" i="3"/>
  <c r="R117" i="33" s="1"/>
  <c r="CG114" i="3"/>
  <c r="R346" i="33" s="1"/>
  <c r="CF114" i="3"/>
  <c r="K117" i="33" s="1"/>
  <c r="CE114" i="3"/>
  <c r="CL113" i="3"/>
  <c r="CK113" i="3"/>
  <c r="CI113" i="3"/>
  <c r="CH113" i="3"/>
  <c r="CG113" i="3"/>
  <c r="CF113" i="3"/>
  <c r="CE113" i="3"/>
  <c r="CL94" i="3"/>
  <c r="AF97" i="33" s="1"/>
  <c r="AG97" i="33" s="1"/>
  <c r="CK94" i="3"/>
  <c r="AF327" i="33" s="1"/>
  <c r="AG327" i="33" s="1"/>
  <c r="CJ94" i="3"/>
  <c r="Y97" i="33" s="1"/>
  <c r="Z97" i="33" s="1"/>
  <c r="CI94" i="3"/>
  <c r="Y327" i="33" s="1"/>
  <c r="Z327" i="33" s="1"/>
  <c r="CG94" i="3"/>
  <c r="R327" i="33" s="1"/>
  <c r="S327" i="33" s="1"/>
  <c r="CF94" i="3"/>
  <c r="K97" i="33" s="1"/>
  <c r="CE94" i="3"/>
  <c r="K327" i="33" s="1"/>
  <c r="L327" i="33" s="1"/>
  <c r="C11" i="38" s="1"/>
  <c r="CK93" i="3"/>
  <c r="AF326" i="33" s="1"/>
  <c r="CI93" i="3"/>
  <c r="Y326" i="33" s="1"/>
  <c r="Z326" i="33" s="1"/>
  <c r="CG93" i="3"/>
  <c r="R326" i="33" s="1"/>
  <c r="CF93" i="3"/>
  <c r="CE93" i="3"/>
  <c r="K326" i="33" s="1"/>
  <c r="CK92" i="3"/>
  <c r="AF325" i="33" s="1"/>
  <c r="AG325" i="33" s="1"/>
  <c r="CI92" i="3"/>
  <c r="Y325" i="33" s="1"/>
  <c r="Z325" i="33" s="1"/>
  <c r="CG92" i="3"/>
  <c r="R325" i="33" s="1"/>
  <c r="S325" i="33" s="1"/>
  <c r="CF92" i="3"/>
  <c r="CE92" i="3"/>
  <c r="K325" i="33" s="1"/>
  <c r="L325" i="33" s="1"/>
  <c r="CL91" i="3"/>
  <c r="CK91" i="3"/>
  <c r="AF324" i="33" s="1"/>
  <c r="CJ91" i="3"/>
  <c r="CI91" i="3"/>
  <c r="Y324" i="33" s="1"/>
  <c r="Z324" i="33" s="1"/>
  <c r="CH91" i="3"/>
  <c r="CG91" i="3"/>
  <c r="R324" i="33" s="1"/>
  <c r="CF91" i="3"/>
  <c r="CE91" i="3"/>
  <c r="K324" i="33" s="1"/>
  <c r="CL90" i="3"/>
  <c r="CK90" i="3"/>
  <c r="AF323" i="33" s="1"/>
  <c r="AG323" i="33" s="1"/>
  <c r="CJ90" i="3"/>
  <c r="CI90" i="3"/>
  <c r="Y323" i="33" s="1"/>
  <c r="CH90" i="3"/>
  <c r="CG90" i="3"/>
  <c r="R323" i="33" s="1"/>
  <c r="CF90" i="3"/>
  <c r="CE90" i="3"/>
  <c r="K323" i="33" s="1"/>
  <c r="CL89" i="3"/>
  <c r="CK89" i="3"/>
  <c r="AF322" i="33" s="1"/>
  <c r="AG322" i="33" s="1"/>
  <c r="CJ89" i="3"/>
  <c r="CI89" i="3"/>
  <c r="Y322" i="33" s="1"/>
  <c r="CH89" i="3"/>
  <c r="CG89" i="3"/>
  <c r="R322" i="33" s="1"/>
  <c r="CF89" i="3"/>
  <c r="CE89" i="3"/>
  <c r="K322" i="33" s="1"/>
  <c r="CL88" i="3"/>
  <c r="CK88" i="3"/>
  <c r="AF321" i="33" s="1"/>
  <c r="CJ88" i="3"/>
  <c r="CI88" i="3"/>
  <c r="Y321" i="33" s="1"/>
  <c r="Z321" i="33" s="1"/>
  <c r="CH88" i="3"/>
  <c r="CG88" i="3"/>
  <c r="R321" i="33" s="1"/>
  <c r="CF88" i="3"/>
  <c r="CE88" i="3"/>
  <c r="K321" i="33" s="1"/>
  <c r="CL87" i="3"/>
  <c r="CK87" i="3"/>
  <c r="AF320" i="33" s="1"/>
  <c r="CJ87" i="3"/>
  <c r="CI87" i="3"/>
  <c r="Y320" i="33" s="1"/>
  <c r="CH87" i="3"/>
  <c r="CG87" i="3"/>
  <c r="R320" i="33" s="1"/>
  <c r="S320" i="33" s="1"/>
  <c r="CF87" i="3"/>
  <c r="CE87" i="3"/>
  <c r="K320" i="33" s="1"/>
  <c r="CL86" i="3"/>
  <c r="CK86" i="3"/>
  <c r="AF319" i="33" s="1"/>
  <c r="CJ86" i="3"/>
  <c r="CI86" i="3"/>
  <c r="Y319" i="33" s="1"/>
  <c r="Z319" i="33" s="1"/>
  <c r="CH86" i="3"/>
  <c r="CG86" i="3"/>
  <c r="R319" i="33" s="1"/>
  <c r="CF86" i="3"/>
  <c r="CE86" i="3"/>
  <c r="K319" i="33" s="1"/>
  <c r="AF96" i="33"/>
  <c r="AG96" i="33" s="1"/>
  <c r="Y96" i="33"/>
  <c r="Z96" i="33" s="1"/>
  <c r="K96" i="33"/>
  <c r="L96" i="33" s="1"/>
  <c r="AF95" i="33"/>
  <c r="AG95" i="33" s="1"/>
  <c r="Y95" i="33"/>
  <c r="Z95" i="33" s="1"/>
  <c r="K95" i="33"/>
  <c r="L95" i="33" s="1"/>
  <c r="AF94" i="33"/>
  <c r="AG94" i="33" s="1"/>
  <c r="Y94" i="33"/>
  <c r="Z94" i="33" s="1"/>
  <c r="K94" i="33"/>
  <c r="L94" i="33" s="1"/>
  <c r="CK79" i="3"/>
  <c r="AF318" i="33" s="1"/>
  <c r="AG318" i="33" s="1"/>
  <c r="CJ79" i="3"/>
  <c r="Y93" i="33" s="1"/>
  <c r="CI79" i="3"/>
  <c r="Y318" i="33" s="1"/>
  <c r="CH79" i="3"/>
  <c r="R93" i="33" s="1"/>
  <c r="CG79" i="3"/>
  <c r="R318" i="33" s="1"/>
  <c r="CF79" i="3"/>
  <c r="K93" i="33" s="1"/>
  <c r="CE79" i="3"/>
  <c r="K318" i="33" s="1"/>
  <c r="CL78" i="3"/>
  <c r="CK78" i="3"/>
  <c r="AF317" i="33" s="1"/>
  <c r="CI78" i="3"/>
  <c r="Y317" i="33" s="1"/>
  <c r="Z317" i="33" s="1"/>
  <c r="CH78" i="3"/>
  <c r="CG78" i="3"/>
  <c r="R317" i="33" s="1"/>
  <c r="CF78" i="3"/>
  <c r="K92" i="33" s="1"/>
  <c r="CE78" i="3"/>
  <c r="K317" i="33" s="1"/>
  <c r="Y91" i="33"/>
  <c r="Z91" i="33" s="1"/>
  <c r="R91" i="33"/>
  <c r="S91" i="33" s="1"/>
  <c r="K91" i="33"/>
  <c r="L91" i="33" s="1"/>
  <c r="AF90" i="33"/>
  <c r="AG90" i="33" s="1"/>
  <c r="R90" i="33"/>
  <c r="S90" i="33" s="1"/>
  <c r="K90" i="33"/>
  <c r="L90" i="33" s="1"/>
  <c r="CL80" i="3"/>
  <c r="AF89" i="33" s="1"/>
  <c r="AG89" i="33" s="1"/>
  <c r="CK80" i="3"/>
  <c r="AF311" i="33" s="1"/>
  <c r="AG311" i="33" s="1"/>
  <c r="CJ80" i="3"/>
  <c r="Y89" i="33" s="1"/>
  <c r="Z89" i="33" s="1"/>
  <c r="CI80" i="3"/>
  <c r="Y311" i="33" s="1"/>
  <c r="Z311" i="33" s="1"/>
  <c r="CG80" i="3"/>
  <c r="R311" i="33" s="1"/>
  <c r="S311" i="33" s="1"/>
  <c r="CF80" i="3"/>
  <c r="K89" i="33" s="1"/>
  <c r="CE80" i="3"/>
  <c r="K311" i="33" s="1"/>
  <c r="CL77" i="3"/>
  <c r="AF88" i="33" s="1"/>
  <c r="CK77" i="3"/>
  <c r="AF310" i="33" s="1"/>
  <c r="CI77" i="3"/>
  <c r="Y310" i="33" s="1"/>
  <c r="Z310" i="33" s="1"/>
  <c r="CH77" i="3"/>
  <c r="R88" i="33" s="1"/>
  <c r="CG77" i="3"/>
  <c r="R310" i="33" s="1"/>
  <c r="CF77" i="3"/>
  <c r="K88" i="33" s="1"/>
  <c r="CE77" i="3"/>
  <c r="K310" i="33" s="1"/>
  <c r="BW115" i="3"/>
  <c r="CL115" i="3" s="1"/>
  <c r="BR117" i="3"/>
  <c r="BQ117" i="3"/>
  <c r="BP117" i="3"/>
  <c r="BR116" i="3"/>
  <c r="BQ116" i="3"/>
  <c r="BP116" i="3"/>
  <c r="BS115" i="3"/>
  <c r="AC118" i="33" s="1"/>
  <c r="BR115" i="3"/>
  <c r="AC348" i="33" s="1"/>
  <c r="BQ115" i="3"/>
  <c r="BP115" i="3"/>
  <c r="BS114" i="3"/>
  <c r="BR114" i="3"/>
  <c r="AA346" i="33" s="1"/>
  <c r="AB346" i="33" s="1"/>
  <c r="AC346" i="33" s="1"/>
  <c r="BP114" i="3"/>
  <c r="BS113" i="3"/>
  <c r="BR113" i="3"/>
  <c r="BP113" i="3"/>
  <c r="BM114" i="3"/>
  <c r="BM113" i="3"/>
  <c r="BH117" i="3"/>
  <c r="BG117" i="3"/>
  <c r="BF117" i="3"/>
  <c r="BH116" i="3"/>
  <c r="BG116" i="3"/>
  <c r="BF116" i="3"/>
  <c r="BI115" i="3"/>
  <c r="V118" i="33" s="1"/>
  <c r="BH115" i="3"/>
  <c r="V348" i="33" s="1"/>
  <c r="BF115" i="3"/>
  <c r="BI114" i="3"/>
  <c r="BH114" i="3"/>
  <c r="T346" i="33" s="1"/>
  <c r="U346" i="33" s="1"/>
  <c r="BG114" i="3"/>
  <c r="Q117" i="33" s="1"/>
  <c r="BF114" i="3"/>
  <c r="BI113" i="3"/>
  <c r="BH113" i="3"/>
  <c r="BG113" i="3"/>
  <c r="BF113" i="3"/>
  <c r="BC115" i="3"/>
  <c r="AX117" i="3"/>
  <c r="M350" i="33" s="1"/>
  <c r="N350" i="33" s="1"/>
  <c r="AW117" i="3"/>
  <c r="J120" i="33" s="1"/>
  <c r="AV117" i="3"/>
  <c r="AX116" i="3"/>
  <c r="M349" i="33" s="1"/>
  <c r="N349" i="33" s="1"/>
  <c r="AW116" i="3"/>
  <c r="J119" i="33" s="1"/>
  <c r="AV116" i="3"/>
  <c r="AY115" i="3"/>
  <c r="M118" i="33" s="1"/>
  <c r="N118" i="33" s="1"/>
  <c r="AX115" i="3"/>
  <c r="M348" i="33" s="1"/>
  <c r="N348" i="33" s="1"/>
  <c r="AW115" i="3"/>
  <c r="J118" i="33" s="1"/>
  <c r="AV115" i="3"/>
  <c r="AY114" i="3"/>
  <c r="AX114" i="3"/>
  <c r="AW114" i="3"/>
  <c r="J117" i="33" s="1"/>
  <c r="AV114" i="3"/>
  <c r="AY113" i="3"/>
  <c r="AX113" i="3"/>
  <c r="AW113" i="3"/>
  <c r="AV113" i="3"/>
  <c r="AN115" i="3"/>
  <c r="BV115" i="3" s="1"/>
  <c r="AN114" i="3"/>
  <c r="BV114" i="3" s="1"/>
  <c r="AX93" i="3"/>
  <c r="M326" i="33" s="1"/>
  <c r="N326" i="33" s="1"/>
  <c r="AW93" i="3"/>
  <c r="AV93" i="3"/>
  <c r="AX92" i="3"/>
  <c r="M325" i="33" s="1"/>
  <c r="AW92" i="3"/>
  <c r="AV92" i="3"/>
  <c r="AX91" i="3"/>
  <c r="M324" i="33" s="1"/>
  <c r="N324" i="33" s="1"/>
  <c r="AW91" i="3"/>
  <c r="AV91" i="3"/>
  <c r="AX90" i="3"/>
  <c r="M323" i="33" s="1"/>
  <c r="N323" i="33" s="1"/>
  <c r="AW90" i="3"/>
  <c r="AV90" i="3"/>
  <c r="AX89" i="3"/>
  <c r="M322" i="33" s="1"/>
  <c r="N322" i="33" s="1"/>
  <c r="AW89" i="3"/>
  <c r="AV89" i="3"/>
  <c r="AX88" i="3"/>
  <c r="M321" i="33" s="1"/>
  <c r="N321" i="33" s="1"/>
  <c r="AW88" i="3"/>
  <c r="AV88" i="3"/>
  <c r="AX87" i="3"/>
  <c r="M320" i="33" s="1"/>
  <c r="N320" i="33" s="1"/>
  <c r="AW87" i="3"/>
  <c r="AV87" i="3"/>
  <c r="AX86" i="3"/>
  <c r="M319" i="33" s="1"/>
  <c r="N319" i="33" s="1"/>
  <c r="AW86" i="3"/>
  <c r="AV86" i="3"/>
  <c r="J96" i="33"/>
  <c r="J95" i="33"/>
  <c r="J94" i="33"/>
  <c r="AX79" i="3"/>
  <c r="M318" i="33" s="1"/>
  <c r="N318" i="33" s="1"/>
  <c r="AW79" i="3"/>
  <c r="J93" i="33" s="1"/>
  <c r="AV79" i="3"/>
  <c r="AX78" i="3"/>
  <c r="M317" i="33" s="1"/>
  <c r="N317" i="33" s="1"/>
  <c r="AW78" i="3"/>
  <c r="J92" i="33" s="1"/>
  <c r="AV78" i="3"/>
  <c r="J91" i="33"/>
  <c r="J90" i="33"/>
  <c r="AX80" i="3"/>
  <c r="M311" i="33" s="1"/>
  <c r="N311" i="33" s="1"/>
  <c r="AW80" i="3"/>
  <c r="J89" i="33" s="1"/>
  <c r="AV80" i="3"/>
  <c r="AX77" i="3"/>
  <c r="M310" i="33" s="1"/>
  <c r="N310" i="33" s="1"/>
  <c r="AW77" i="3"/>
  <c r="J88" i="33" s="1"/>
  <c r="AV77" i="3"/>
  <c r="AO93" i="3"/>
  <c r="BW93" i="3" s="1"/>
  <c r="CA93" i="3" s="1"/>
  <c r="AO92" i="3"/>
  <c r="BS92" i="3" s="1"/>
  <c r="AO91" i="3"/>
  <c r="BS91" i="3" s="1"/>
  <c r="AO90" i="3"/>
  <c r="AY90" i="3" s="1"/>
  <c r="AO89" i="3"/>
  <c r="CC89" i="3" s="1"/>
  <c r="AO88" i="3"/>
  <c r="AY88" i="3" s="1"/>
  <c r="AO87" i="3"/>
  <c r="BS87" i="3" s="1"/>
  <c r="AO86" i="3"/>
  <c r="BS86" i="3" s="1"/>
  <c r="M95" i="33"/>
  <c r="N95" i="33" s="1"/>
  <c r="O95" i="33" s="1"/>
  <c r="M94" i="33"/>
  <c r="N94" i="33" s="1"/>
  <c r="O94" i="33" s="1"/>
  <c r="AO79" i="3"/>
  <c r="AY79" i="3" s="1"/>
  <c r="AO78" i="3"/>
  <c r="BM78" i="3" s="1"/>
  <c r="BS80" i="3"/>
  <c r="AA89" i="33" s="1"/>
  <c r="AB89" i="33" s="1"/>
  <c r="AC89" i="33" s="1"/>
  <c r="AO77" i="3"/>
  <c r="BM77" i="3" s="1"/>
  <c r="CB93" i="3"/>
  <c r="AH326" i="33" s="1"/>
  <c r="AI326" i="33" s="1"/>
  <c r="BZ93" i="3"/>
  <c r="BR93" i="3"/>
  <c r="AA326" i="33" s="1"/>
  <c r="AB326" i="33" s="1"/>
  <c r="AC326" i="33" s="1"/>
  <c r="BP93" i="3"/>
  <c r="BH93" i="3"/>
  <c r="T326" i="33" s="1"/>
  <c r="U326" i="33" s="1"/>
  <c r="BF93" i="3"/>
  <c r="CB92" i="3"/>
  <c r="AH325" i="33" s="1"/>
  <c r="AI325" i="33" s="1"/>
  <c r="BZ92" i="3"/>
  <c r="BR92" i="3"/>
  <c r="AA325" i="33" s="1"/>
  <c r="AB325" i="33" s="1"/>
  <c r="AC325" i="33" s="1"/>
  <c r="BP92" i="3"/>
  <c r="BH92" i="3"/>
  <c r="T325" i="33" s="1"/>
  <c r="U325" i="33" s="1"/>
  <c r="V325" i="33" s="1"/>
  <c r="BF92" i="3"/>
  <c r="CB91" i="3"/>
  <c r="AH324" i="33" s="1"/>
  <c r="AI324" i="33" s="1"/>
  <c r="BZ91" i="3"/>
  <c r="CA91" i="3"/>
  <c r="BR91" i="3"/>
  <c r="AA324" i="33" s="1"/>
  <c r="AB324" i="33" s="1"/>
  <c r="AC324" i="33" s="1"/>
  <c r="BP91" i="3"/>
  <c r="BQ91" i="3"/>
  <c r="BH91" i="3"/>
  <c r="T324" i="33" s="1"/>
  <c r="U324" i="33" s="1"/>
  <c r="BG91" i="3"/>
  <c r="BF91" i="3"/>
  <c r="CB90" i="3"/>
  <c r="AH323" i="33" s="1"/>
  <c r="AI323" i="33" s="1"/>
  <c r="BZ90" i="3"/>
  <c r="CA90" i="3"/>
  <c r="BR90" i="3"/>
  <c r="AA323" i="33" s="1"/>
  <c r="AB323" i="33" s="1"/>
  <c r="BP90" i="3"/>
  <c r="BQ90" i="3"/>
  <c r="BH90" i="3"/>
  <c r="T323" i="33" s="1"/>
  <c r="U323" i="33" s="1"/>
  <c r="BF90" i="3"/>
  <c r="BG90" i="3"/>
  <c r="CB89" i="3"/>
  <c r="AH322" i="33" s="1"/>
  <c r="AI322" i="33" s="1"/>
  <c r="BZ89" i="3"/>
  <c r="CA89" i="3"/>
  <c r="BR89" i="3"/>
  <c r="AA322" i="33" s="1"/>
  <c r="AB322" i="33" s="1"/>
  <c r="BP89" i="3"/>
  <c r="BQ89" i="3"/>
  <c r="BH89" i="3"/>
  <c r="T322" i="33" s="1"/>
  <c r="U322" i="33" s="1"/>
  <c r="BF89" i="3"/>
  <c r="BG89" i="3"/>
  <c r="CB88" i="3"/>
  <c r="AH321" i="33" s="1"/>
  <c r="AI321" i="33" s="1"/>
  <c r="BZ88" i="3"/>
  <c r="CA88" i="3"/>
  <c r="BR88" i="3"/>
  <c r="AA321" i="33" s="1"/>
  <c r="AB321" i="33" s="1"/>
  <c r="AC321" i="33" s="1"/>
  <c r="BP88" i="3"/>
  <c r="BQ88" i="3"/>
  <c r="BH88" i="3"/>
  <c r="T321" i="33" s="1"/>
  <c r="U321" i="33" s="1"/>
  <c r="BF88" i="3"/>
  <c r="BG88" i="3"/>
  <c r="CB87" i="3"/>
  <c r="AH320" i="33" s="1"/>
  <c r="AI320" i="33" s="1"/>
  <c r="BZ87" i="3"/>
  <c r="CA87" i="3"/>
  <c r="BR87" i="3"/>
  <c r="AA320" i="33" s="1"/>
  <c r="AB320" i="33" s="1"/>
  <c r="AC320" i="33" s="1"/>
  <c r="BP87" i="3"/>
  <c r="BQ87" i="3"/>
  <c r="BH87" i="3"/>
  <c r="T320" i="33" s="1"/>
  <c r="U320" i="33" s="1"/>
  <c r="V320" i="33" s="1"/>
  <c r="BG87" i="3"/>
  <c r="BF87" i="3"/>
  <c r="CB86" i="3"/>
  <c r="AH319" i="33" s="1"/>
  <c r="AI319" i="33" s="1"/>
  <c r="BZ86" i="3"/>
  <c r="CA86" i="3"/>
  <c r="BR86" i="3"/>
  <c r="AA319" i="33" s="1"/>
  <c r="AB319" i="33" s="1"/>
  <c r="AC319" i="33" s="1"/>
  <c r="BP86" i="3"/>
  <c r="BQ86" i="3"/>
  <c r="BH86" i="3"/>
  <c r="T319" i="33" s="1"/>
  <c r="U319" i="33" s="1"/>
  <c r="BG86" i="3"/>
  <c r="BF86" i="3"/>
  <c r="AE96" i="33"/>
  <c r="X96" i="33"/>
  <c r="AE95" i="33"/>
  <c r="X95" i="33"/>
  <c r="AE94" i="33"/>
  <c r="X94" i="33"/>
  <c r="CB79" i="3"/>
  <c r="AH318" i="33" s="1"/>
  <c r="AI318" i="33" s="1"/>
  <c r="BZ79" i="3"/>
  <c r="BR79" i="3"/>
  <c r="AA318" i="33" s="1"/>
  <c r="AB318" i="33" s="1"/>
  <c r="BP79" i="3"/>
  <c r="BQ79" i="3"/>
  <c r="BH79" i="3"/>
  <c r="T318" i="33" s="1"/>
  <c r="U318" i="33" s="1"/>
  <c r="BF79" i="3"/>
  <c r="BG79" i="3"/>
  <c r="CB78" i="3"/>
  <c r="AH317" i="33" s="1"/>
  <c r="AI317" i="33" s="1"/>
  <c r="BZ78" i="3"/>
  <c r="CA78" i="3"/>
  <c r="BR78" i="3"/>
  <c r="AA317" i="33" s="1"/>
  <c r="AB317" i="33" s="1"/>
  <c r="AC317" i="33" s="1"/>
  <c r="BP78" i="3"/>
  <c r="BH78" i="3"/>
  <c r="T317" i="33" s="1"/>
  <c r="U317" i="33" s="1"/>
  <c r="BF78" i="3"/>
  <c r="BG78" i="3"/>
  <c r="X91" i="33"/>
  <c r="Q91" i="33"/>
  <c r="AE90" i="33"/>
  <c r="Q90" i="33"/>
  <c r="CB80" i="3"/>
  <c r="AH311" i="33" s="1"/>
  <c r="AI311" i="33" s="1"/>
  <c r="BZ80" i="3"/>
  <c r="CA80" i="3"/>
  <c r="AE89" i="33" s="1"/>
  <c r="BR80" i="3"/>
  <c r="AA311" i="33" s="1"/>
  <c r="AB311" i="33" s="1"/>
  <c r="AC311" i="33" s="1"/>
  <c r="BP80" i="3"/>
  <c r="BQ80" i="3"/>
  <c r="X89" i="33" s="1"/>
  <c r="BH80" i="3"/>
  <c r="T311" i="33" s="1"/>
  <c r="U311" i="33" s="1"/>
  <c r="V311" i="33" s="1"/>
  <c r="BF80" i="3"/>
  <c r="CB77" i="3"/>
  <c r="AH310" i="33" s="1"/>
  <c r="AI310" i="33" s="1"/>
  <c r="BZ77" i="3"/>
  <c r="CA77" i="3"/>
  <c r="BR77" i="3"/>
  <c r="AA310" i="33" s="1"/>
  <c r="AB310" i="33" s="1"/>
  <c r="AC310" i="33" s="1"/>
  <c r="BP77" i="3"/>
  <c r="BH77" i="3"/>
  <c r="T310" i="33" s="1"/>
  <c r="U310" i="33" s="1"/>
  <c r="BF77" i="3"/>
  <c r="BG77" i="3"/>
  <c r="AN92" i="3"/>
  <c r="BV92" i="3" s="1"/>
  <c r="AN79" i="3"/>
  <c r="BL79" i="3" s="1"/>
  <c r="AN78" i="3"/>
  <c r="BL78" i="3" s="1"/>
  <c r="BV80" i="3"/>
  <c r="AN77" i="3"/>
  <c r="BV77" i="3" s="1"/>
  <c r="CK75" i="3"/>
  <c r="AF308" i="33" s="1"/>
  <c r="AG308" i="33" s="1"/>
  <c r="CJ75" i="3"/>
  <c r="Y86" i="33" s="1"/>
  <c r="CI75" i="3"/>
  <c r="Y308" i="33" s="1"/>
  <c r="CH75" i="3"/>
  <c r="R86" i="33" s="1"/>
  <c r="CG75" i="3"/>
  <c r="R308" i="33" s="1"/>
  <c r="CF75" i="3"/>
  <c r="K86" i="33" s="1"/>
  <c r="CE75" i="3"/>
  <c r="K308" i="33" s="1"/>
  <c r="CB75" i="3"/>
  <c r="AH308" i="33" s="1"/>
  <c r="AI308" i="33" s="1"/>
  <c r="BZ75" i="3"/>
  <c r="BR75" i="3"/>
  <c r="AA308" i="33" s="1"/>
  <c r="AB308" i="33" s="1"/>
  <c r="BQ75" i="3"/>
  <c r="X86" i="33" s="1"/>
  <c r="BP75" i="3"/>
  <c r="BH75" i="3"/>
  <c r="T308" i="33" s="1"/>
  <c r="U308" i="33" s="1"/>
  <c r="BG75" i="3"/>
  <c r="Q86" i="33" s="1"/>
  <c r="BF75" i="3"/>
  <c r="AX75" i="3"/>
  <c r="M308" i="33" s="1"/>
  <c r="N308" i="33" s="1"/>
  <c r="AW75" i="3"/>
  <c r="J86" i="33" s="1"/>
  <c r="AV75" i="3"/>
  <c r="CK74" i="3"/>
  <c r="AF271" i="33" s="1"/>
  <c r="CI74" i="3"/>
  <c r="Y271" i="33" s="1"/>
  <c r="Z271" i="33" s="1"/>
  <c r="CH74" i="3"/>
  <c r="R85" i="33" s="1"/>
  <c r="CG74" i="3"/>
  <c r="R271" i="33" s="1"/>
  <c r="CF74" i="3"/>
  <c r="K85" i="33" s="1"/>
  <c r="CE74" i="3"/>
  <c r="K271" i="33" s="1"/>
  <c r="CB74" i="3"/>
  <c r="AH271" i="33" s="1"/>
  <c r="AI271" i="33" s="1"/>
  <c r="CA74" i="3"/>
  <c r="AE85" i="33" s="1"/>
  <c r="BZ74" i="3"/>
  <c r="CL74" i="3"/>
  <c r="AF85" i="33" s="1"/>
  <c r="BR74" i="3"/>
  <c r="AA271" i="33" s="1"/>
  <c r="AB271" i="33" s="1"/>
  <c r="AC271" i="33" s="1"/>
  <c r="BP74" i="3"/>
  <c r="BH74" i="3"/>
  <c r="T271" i="33" s="1"/>
  <c r="U271" i="33" s="1"/>
  <c r="BG74" i="3"/>
  <c r="Q85" i="33" s="1"/>
  <c r="BF74" i="3"/>
  <c r="AX74" i="3"/>
  <c r="M271" i="33" s="1"/>
  <c r="N271" i="33" s="1"/>
  <c r="AW74" i="3"/>
  <c r="J85" i="33" s="1"/>
  <c r="AV74" i="3"/>
  <c r="AO75" i="3"/>
  <c r="BI75" i="3" s="1"/>
  <c r="T86" i="33" s="1"/>
  <c r="U86" i="33" s="1"/>
  <c r="AN75" i="3"/>
  <c r="AR75" i="3" s="1"/>
  <c r="AO74" i="3"/>
  <c r="AY74" i="3" s="1"/>
  <c r="M85" i="33" s="1"/>
  <c r="N85" i="33" s="1"/>
  <c r="AN74" i="3"/>
  <c r="BL74" i="3" s="1"/>
  <c r="CK73" i="3"/>
  <c r="CJ73" i="3"/>
  <c r="Y84" i="33" s="1"/>
  <c r="CI73" i="3"/>
  <c r="Y270" i="33" s="1"/>
  <c r="CH73" i="3"/>
  <c r="R84" i="33" s="1"/>
  <c r="CG73" i="3"/>
  <c r="R270" i="33" s="1"/>
  <c r="CF73" i="3"/>
  <c r="K84" i="33" s="1"/>
  <c r="CE73" i="3"/>
  <c r="K270" i="33" s="1"/>
  <c r="CB73" i="3"/>
  <c r="BZ73" i="3"/>
  <c r="BR73" i="3"/>
  <c r="BQ73" i="3"/>
  <c r="BP73" i="3"/>
  <c r="BH73" i="3"/>
  <c r="BG73" i="3"/>
  <c r="BF73" i="3"/>
  <c r="AX73" i="3"/>
  <c r="M270" i="33" s="1"/>
  <c r="N270" i="33" s="1"/>
  <c r="AW73" i="3"/>
  <c r="J84" i="33" s="1"/>
  <c r="AV73" i="3"/>
  <c r="AO73" i="3"/>
  <c r="BW73" i="3" s="1"/>
  <c r="AN73" i="3"/>
  <c r="BL73" i="3" s="1"/>
  <c r="BW56" i="3"/>
  <c r="CA56" i="3" s="1"/>
  <c r="AE67" i="33" s="1"/>
  <c r="BM56" i="3"/>
  <c r="BC56" i="3"/>
  <c r="CK68" i="3"/>
  <c r="AF265" i="33" s="1"/>
  <c r="AG265" i="33" s="1"/>
  <c r="CI68" i="3"/>
  <c r="Y265" i="33" s="1"/>
  <c r="Z265" i="33" s="1"/>
  <c r="CG68" i="3"/>
  <c r="R265" i="33" s="1"/>
  <c r="S265" i="33" s="1"/>
  <c r="CE68" i="3"/>
  <c r="K265" i="33" s="1"/>
  <c r="L265" i="33" s="1"/>
  <c r="CB68" i="3"/>
  <c r="AH265" i="33" s="1"/>
  <c r="AI265" i="33" s="1"/>
  <c r="BZ68" i="3"/>
  <c r="BR68" i="3"/>
  <c r="AA265" i="33" s="1"/>
  <c r="AB265" i="33" s="1"/>
  <c r="AC265" i="33" s="1"/>
  <c r="BP68" i="3"/>
  <c r="BH68" i="3"/>
  <c r="T265" i="33" s="1"/>
  <c r="U265" i="33" s="1"/>
  <c r="V265" i="33" s="1"/>
  <c r="BF68" i="3"/>
  <c r="AX68" i="3"/>
  <c r="M265" i="33" s="1"/>
  <c r="AV68" i="3"/>
  <c r="CK72" i="3"/>
  <c r="CI72" i="3"/>
  <c r="Y269" i="33" s="1"/>
  <c r="CG72" i="3"/>
  <c r="R269" i="33" s="1"/>
  <c r="CE72" i="3"/>
  <c r="K269" i="33" s="1"/>
  <c r="CB72" i="3"/>
  <c r="BZ72" i="3"/>
  <c r="BR72" i="3"/>
  <c r="BP72" i="3"/>
  <c r="BH72" i="3"/>
  <c r="BF72" i="3"/>
  <c r="AX72" i="3"/>
  <c r="M269" i="33" s="1"/>
  <c r="N269" i="33" s="1"/>
  <c r="AV72" i="3"/>
  <c r="CK71" i="3"/>
  <c r="CI71" i="3"/>
  <c r="Y268" i="33" s="1"/>
  <c r="CG71" i="3"/>
  <c r="R268" i="33" s="1"/>
  <c r="CE71" i="3"/>
  <c r="K268" i="33" s="1"/>
  <c r="CB71" i="3"/>
  <c r="BZ71" i="3"/>
  <c r="BR71" i="3"/>
  <c r="BP71" i="3"/>
  <c r="BH71" i="3"/>
  <c r="BF71" i="3"/>
  <c r="AX71" i="3"/>
  <c r="M268" i="33" s="1"/>
  <c r="N268" i="33" s="1"/>
  <c r="AV71" i="3"/>
  <c r="CK70" i="3"/>
  <c r="CI70" i="3"/>
  <c r="Y267" i="33" s="1"/>
  <c r="CG70" i="3"/>
  <c r="CE70" i="3"/>
  <c r="K267" i="33" s="1"/>
  <c r="CB70" i="3"/>
  <c r="BZ70" i="3"/>
  <c r="BR70" i="3"/>
  <c r="AC267" i="33" s="1"/>
  <c r="BP70" i="3"/>
  <c r="BH70" i="3"/>
  <c r="V267" i="33" s="1"/>
  <c r="BF70" i="3"/>
  <c r="AX70" i="3"/>
  <c r="M267" i="33" s="1"/>
  <c r="N267" i="33" s="1"/>
  <c r="AV70" i="3"/>
  <c r="CK69" i="3"/>
  <c r="AF266" i="33" s="1"/>
  <c r="AG266" i="33" s="1"/>
  <c r="CI69" i="3"/>
  <c r="Y266" i="33" s="1"/>
  <c r="Z266" i="33" s="1"/>
  <c r="CG69" i="3"/>
  <c r="R266" i="33" s="1"/>
  <c r="S266" i="33" s="1"/>
  <c r="CE69" i="3"/>
  <c r="K266" i="33" s="1"/>
  <c r="L266" i="33" s="1"/>
  <c r="CB69" i="3"/>
  <c r="AH266" i="33" s="1"/>
  <c r="AI266" i="33" s="1"/>
  <c r="BZ69" i="3"/>
  <c r="BR69" i="3"/>
  <c r="AA266" i="33" s="1"/>
  <c r="AB266" i="33" s="1"/>
  <c r="AC266" i="33" s="1"/>
  <c r="BP69" i="3"/>
  <c r="BH69" i="3"/>
  <c r="T266" i="33" s="1"/>
  <c r="U266" i="33" s="1"/>
  <c r="V266" i="33" s="1"/>
  <c r="BF69" i="3"/>
  <c r="AX69" i="3"/>
  <c r="M266" i="33" s="1"/>
  <c r="AV69" i="3"/>
  <c r="CK67" i="3"/>
  <c r="CI67" i="3"/>
  <c r="Y264" i="33" s="1"/>
  <c r="CG67" i="3"/>
  <c r="CE67" i="3"/>
  <c r="K264" i="33" s="1"/>
  <c r="CB67" i="3"/>
  <c r="BZ67" i="3"/>
  <c r="BR67" i="3"/>
  <c r="BP67" i="3"/>
  <c r="BH67" i="3"/>
  <c r="BF67" i="3"/>
  <c r="AX67" i="3"/>
  <c r="M264" i="33" s="1"/>
  <c r="N264" i="33" s="1"/>
  <c r="AV67" i="3"/>
  <c r="CK66" i="3"/>
  <c r="AF263" i="33" s="1"/>
  <c r="CI66" i="3"/>
  <c r="Y263" i="33" s="1"/>
  <c r="CG66" i="3"/>
  <c r="CE66" i="3"/>
  <c r="K263" i="33" s="1"/>
  <c r="CB66" i="3"/>
  <c r="BZ66" i="3"/>
  <c r="BR66" i="3"/>
  <c r="AC263" i="33" s="1"/>
  <c r="BP66" i="3"/>
  <c r="BH66" i="3"/>
  <c r="V263" i="33" s="1"/>
  <c r="BF66" i="3"/>
  <c r="AX66" i="3"/>
  <c r="M263" i="33" s="1"/>
  <c r="N263" i="33" s="1"/>
  <c r="AV66" i="3"/>
  <c r="CK65" i="3"/>
  <c r="CI65" i="3"/>
  <c r="Y307" i="33" s="1"/>
  <c r="CG65" i="3"/>
  <c r="CE65" i="3"/>
  <c r="K307" i="33" s="1"/>
  <c r="L307" i="33" s="1"/>
  <c r="CB65" i="3"/>
  <c r="AH307" i="33" s="1"/>
  <c r="AI307" i="33" s="1"/>
  <c r="BZ65" i="3"/>
  <c r="BR65" i="3"/>
  <c r="AA307" i="33" s="1"/>
  <c r="AB307" i="33" s="1"/>
  <c r="AC307" i="33" s="1"/>
  <c r="BP65" i="3"/>
  <c r="BH65" i="3"/>
  <c r="T307" i="33" s="1"/>
  <c r="U307" i="33" s="1"/>
  <c r="V307" i="33" s="1"/>
  <c r="BF65" i="3"/>
  <c r="AX65" i="3"/>
  <c r="M307" i="33" s="1"/>
  <c r="N307" i="33" s="1"/>
  <c r="O307" i="33" s="1"/>
  <c r="AV65" i="3"/>
  <c r="CK64" i="3"/>
  <c r="AF177" i="33" s="1"/>
  <c r="AG177" i="33" s="1"/>
  <c r="CI64" i="3"/>
  <c r="Y177" i="33" s="1"/>
  <c r="CG64" i="3"/>
  <c r="R177" i="33" s="1"/>
  <c r="CE64" i="3"/>
  <c r="K177" i="33" s="1"/>
  <c r="CB64" i="3"/>
  <c r="AH177" i="33" s="1"/>
  <c r="AI177" i="33" s="1"/>
  <c r="BZ64" i="3"/>
  <c r="BR64" i="3"/>
  <c r="AA177" i="33" s="1"/>
  <c r="AB177" i="33" s="1"/>
  <c r="BP64" i="3"/>
  <c r="BH64" i="3"/>
  <c r="T177" i="33" s="1"/>
  <c r="U177" i="33" s="1"/>
  <c r="BF64" i="3"/>
  <c r="AX64" i="3"/>
  <c r="M177" i="33" s="1"/>
  <c r="N177" i="33" s="1"/>
  <c r="AV64" i="3"/>
  <c r="CK63" i="3"/>
  <c r="AF306" i="33" s="1"/>
  <c r="CI63" i="3"/>
  <c r="Y306" i="33" s="1"/>
  <c r="CG63" i="3"/>
  <c r="R306" i="33" s="1"/>
  <c r="CE63" i="3"/>
  <c r="K306" i="33" s="1"/>
  <c r="L306" i="33" s="1"/>
  <c r="CB63" i="3"/>
  <c r="AH306" i="33" s="1"/>
  <c r="AI306" i="33" s="1"/>
  <c r="BZ63" i="3"/>
  <c r="BR63" i="3"/>
  <c r="AA306" i="33" s="1"/>
  <c r="AB306" i="33" s="1"/>
  <c r="AC306" i="33" s="1"/>
  <c r="BP63" i="3"/>
  <c r="BH63" i="3"/>
  <c r="T306" i="33" s="1"/>
  <c r="U306" i="33" s="1"/>
  <c r="V306" i="33" s="1"/>
  <c r="BF63" i="3"/>
  <c r="AX63" i="3"/>
  <c r="M306" i="33" s="1"/>
  <c r="AV63" i="3"/>
  <c r="CK62" i="3"/>
  <c r="AF262" i="33" s="1"/>
  <c r="CI62" i="3"/>
  <c r="Y262" i="33" s="1"/>
  <c r="Z262" i="33" s="1"/>
  <c r="CG62" i="3"/>
  <c r="R262" i="33" s="1"/>
  <c r="CE62" i="3"/>
  <c r="K262" i="33" s="1"/>
  <c r="CB62" i="3"/>
  <c r="AH262" i="33" s="1"/>
  <c r="AI262" i="33" s="1"/>
  <c r="BZ62" i="3"/>
  <c r="BR62" i="3"/>
  <c r="AA262" i="33" s="1"/>
  <c r="AB262" i="33" s="1"/>
  <c r="AC262" i="33" s="1"/>
  <c r="BP62" i="3"/>
  <c r="BH62" i="3"/>
  <c r="BF62" i="3"/>
  <c r="AX62" i="3"/>
  <c r="AV62" i="3"/>
  <c r="CK61" i="3"/>
  <c r="AF261" i="33" s="1"/>
  <c r="CI61" i="3"/>
  <c r="Y261" i="33" s="1"/>
  <c r="Z261" i="33" s="1"/>
  <c r="CG61" i="3"/>
  <c r="R261" i="33" s="1"/>
  <c r="CE61" i="3"/>
  <c r="K261" i="33" s="1"/>
  <c r="CB61" i="3"/>
  <c r="AH261" i="33" s="1"/>
  <c r="AI261" i="33" s="1"/>
  <c r="BZ61" i="3"/>
  <c r="BR61" i="3"/>
  <c r="AA261" i="33" s="1"/>
  <c r="AB261" i="33" s="1"/>
  <c r="AC261" i="33" s="1"/>
  <c r="BP61" i="3"/>
  <c r="BH61" i="3"/>
  <c r="T261" i="33" s="1"/>
  <c r="U261" i="33" s="1"/>
  <c r="BF61" i="3"/>
  <c r="AX61" i="3"/>
  <c r="AV61" i="3"/>
  <c r="CK60" i="3"/>
  <c r="AF260" i="33" s="1"/>
  <c r="CI60" i="3"/>
  <c r="Y260" i="33" s="1"/>
  <c r="Z260" i="33" s="1"/>
  <c r="CG60" i="3"/>
  <c r="R260" i="33" s="1"/>
  <c r="CE60" i="3"/>
  <c r="K260" i="33" s="1"/>
  <c r="CB60" i="3"/>
  <c r="AH260" i="33" s="1"/>
  <c r="AI260" i="33" s="1"/>
  <c r="BZ60" i="3"/>
  <c r="BR60" i="3"/>
  <c r="AA260" i="33" s="1"/>
  <c r="AB260" i="33" s="1"/>
  <c r="AC260" i="33" s="1"/>
  <c r="BP60" i="3"/>
  <c r="BH60" i="3"/>
  <c r="T260" i="33" s="1"/>
  <c r="U260" i="33" s="1"/>
  <c r="BF60" i="3"/>
  <c r="AX60" i="3"/>
  <c r="M260" i="33" s="1"/>
  <c r="AV60" i="3"/>
  <c r="CK59" i="3"/>
  <c r="AF259" i="33" s="1"/>
  <c r="CI59" i="3"/>
  <c r="Y259" i="33" s="1"/>
  <c r="Z259" i="33" s="1"/>
  <c r="CG59" i="3"/>
  <c r="R259" i="33" s="1"/>
  <c r="CE59" i="3"/>
  <c r="K259" i="33" s="1"/>
  <c r="CB59" i="3"/>
  <c r="AH259" i="33" s="1"/>
  <c r="AI259" i="33" s="1"/>
  <c r="BZ59" i="3"/>
  <c r="BR59" i="3"/>
  <c r="AA259" i="33" s="1"/>
  <c r="AB259" i="33" s="1"/>
  <c r="AC259" i="33" s="1"/>
  <c r="BP59" i="3"/>
  <c r="BH59" i="3"/>
  <c r="T259" i="33" s="1"/>
  <c r="U259" i="33" s="1"/>
  <c r="BF59" i="3"/>
  <c r="AX59" i="3"/>
  <c r="M259" i="33" s="1"/>
  <c r="AV59" i="3"/>
  <c r="CK58" i="3"/>
  <c r="AF258" i="33" s="1"/>
  <c r="AG258" i="33" s="1"/>
  <c r="CI58" i="3"/>
  <c r="Y258" i="33" s="1"/>
  <c r="Z258" i="33" s="1"/>
  <c r="CG58" i="3"/>
  <c r="R258" i="33" s="1"/>
  <c r="CE58" i="3"/>
  <c r="K258" i="33" s="1"/>
  <c r="CB58" i="3"/>
  <c r="AH258" i="33" s="1"/>
  <c r="AI258" i="33" s="1"/>
  <c r="BZ58" i="3"/>
  <c r="BR58" i="3"/>
  <c r="AA258" i="33" s="1"/>
  <c r="AB258" i="33" s="1"/>
  <c r="AC258" i="33" s="1"/>
  <c r="BP58" i="3"/>
  <c r="BH58" i="3"/>
  <c r="T258" i="33" s="1"/>
  <c r="U258" i="33" s="1"/>
  <c r="BF58" i="3"/>
  <c r="AX58" i="3"/>
  <c r="M258" i="33" s="1"/>
  <c r="AV58" i="3"/>
  <c r="CK57" i="3"/>
  <c r="AF257" i="33" s="1"/>
  <c r="CI57" i="3"/>
  <c r="Y257" i="33" s="1"/>
  <c r="CG57" i="3"/>
  <c r="R257" i="33" s="1"/>
  <c r="S257" i="33" s="1"/>
  <c r="CE57" i="3"/>
  <c r="K257" i="33" s="1"/>
  <c r="CB57" i="3"/>
  <c r="AH257" i="33" s="1"/>
  <c r="AI257" i="33" s="1"/>
  <c r="BZ57" i="3"/>
  <c r="BR57" i="3"/>
  <c r="AA257" i="33" s="1"/>
  <c r="AB257" i="33" s="1"/>
  <c r="AC257" i="33" s="1"/>
  <c r="BP57" i="3"/>
  <c r="BH57" i="3"/>
  <c r="T257" i="33" s="1"/>
  <c r="U257" i="33" s="1"/>
  <c r="V257" i="33" s="1"/>
  <c r="BF57" i="3"/>
  <c r="AX57" i="3"/>
  <c r="M257" i="33" s="1"/>
  <c r="N257" i="33" s="1"/>
  <c r="AV57" i="3"/>
  <c r="AN72" i="3"/>
  <c r="BB72" i="3" s="1"/>
  <c r="AN71" i="3"/>
  <c r="BB71" i="3" s="1"/>
  <c r="AN70" i="3"/>
  <c r="BB70" i="3" s="1"/>
  <c r="BB69" i="3"/>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P10" i="38" l="1"/>
  <c r="K346" i="33"/>
  <c r="K347" i="33"/>
  <c r="M346" i="33"/>
  <c r="N346" i="33" s="1"/>
  <c r="M347" i="33"/>
  <c r="N347" i="33" s="1"/>
  <c r="Y346" i="33"/>
  <c r="Z346" i="33" s="1"/>
  <c r="AC11" i="38" s="1"/>
  <c r="M261" i="33"/>
  <c r="N261" i="33" s="1"/>
  <c r="F11" i="38"/>
  <c r="G11" i="38"/>
  <c r="E11" i="38"/>
  <c r="D11" i="38"/>
  <c r="H11" i="38"/>
  <c r="AP10" i="38"/>
  <c r="P11" i="38"/>
  <c r="AP11" i="38"/>
  <c r="AC10" i="38"/>
  <c r="N258" i="33"/>
  <c r="N260" i="33"/>
  <c r="N266" i="33"/>
  <c r="O266" i="33" s="1"/>
  <c r="N265" i="33"/>
  <c r="O265" i="33" s="1"/>
  <c r="N325" i="33"/>
  <c r="O325" i="33" s="1"/>
  <c r="N259" i="33"/>
  <c r="N306" i="33"/>
  <c r="O306" i="33" s="1"/>
  <c r="CH115" i="3"/>
  <c r="CM115" i="3"/>
  <c r="BQ77" i="3"/>
  <c r="CM77" i="3"/>
  <c r="Q96" i="33"/>
  <c r="CM85" i="3"/>
  <c r="CJ114" i="3"/>
  <c r="CM114" i="3"/>
  <c r="X90" i="33"/>
  <c r="CM81" i="3"/>
  <c r="CH94" i="3"/>
  <c r="R97" i="33" s="1"/>
  <c r="S97" i="33" s="1"/>
  <c r="CA73" i="3"/>
  <c r="CM73" i="3"/>
  <c r="AE91" i="33"/>
  <c r="CM82" i="3"/>
  <c r="BQ78" i="3"/>
  <c r="CM78" i="3"/>
  <c r="CJ113" i="3"/>
  <c r="CM113" i="3"/>
  <c r="BQ114" i="3"/>
  <c r="X117" i="33" s="1"/>
  <c r="BG115" i="3"/>
  <c r="AR114" i="3"/>
  <c r="AR115" i="3"/>
  <c r="BL114" i="3"/>
  <c r="BB114" i="3"/>
  <c r="BL115" i="3"/>
  <c r="R96" i="33"/>
  <c r="S96" i="33" s="1"/>
  <c r="BI80" i="3"/>
  <c r="T89" i="33" s="1"/>
  <c r="U89" i="33" s="1"/>
  <c r="V89" i="33" s="1"/>
  <c r="BB115" i="3"/>
  <c r="BQ113" i="3"/>
  <c r="CJ77" i="3"/>
  <c r="Y88" i="33" s="1"/>
  <c r="Y90" i="33"/>
  <c r="Z90" i="33" s="1"/>
  <c r="CJ78" i="3"/>
  <c r="CA115" i="3"/>
  <c r="AF91" i="33"/>
  <c r="AG91" i="33" s="1"/>
  <c r="CL93" i="3"/>
  <c r="BS93" i="3"/>
  <c r="BI79" i="3"/>
  <c r="CM83" i="3"/>
  <c r="BS79" i="3"/>
  <c r="CC79" i="3"/>
  <c r="T90" i="33"/>
  <c r="U90" i="33" s="1"/>
  <c r="V90" i="33" s="1"/>
  <c r="AA94" i="33"/>
  <c r="AB94" i="33" s="1"/>
  <c r="AC94" i="33" s="1"/>
  <c r="AY91" i="3"/>
  <c r="BS78" i="3"/>
  <c r="BI90" i="3"/>
  <c r="BI93" i="3"/>
  <c r="BS89" i="3"/>
  <c r="BI87" i="3"/>
  <c r="BI91" i="3"/>
  <c r="CC91" i="3"/>
  <c r="T94" i="33"/>
  <c r="U94" i="33" s="1"/>
  <c r="V94" i="33" s="1"/>
  <c r="AH94" i="33"/>
  <c r="AI94" i="33" s="1"/>
  <c r="BL75" i="3"/>
  <c r="AH95" i="33"/>
  <c r="AI95" i="33" s="1"/>
  <c r="T95" i="33"/>
  <c r="U95" i="33" s="1"/>
  <c r="V95" i="33" s="1"/>
  <c r="CC90" i="3"/>
  <c r="BW79" i="3"/>
  <c r="CM79" i="3" s="1"/>
  <c r="BS73" i="3"/>
  <c r="CC77" i="3"/>
  <c r="AA90" i="33"/>
  <c r="AB90" i="33" s="1"/>
  <c r="AC90" i="33" s="1"/>
  <c r="T91" i="33"/>
  <c r="U91" i="33" s="1"/>
  <c r="V91" i="33" s="1"/>
  <c r="AH91" i="33"/>
  <c r="AI91" i="33" s="1"/>
  <c r="T96" i="33"/>
  <c r="U96" i="33" s="1"/>
  <c r="V96" i="33" s="1"/>
  <c r="AH96" i="33"/>
  <c r="AI96" i="33" s="1"/>
  <c r="BI88" i="3"/>
  <c r="CC88" i="3"/>
  <c r="AY87" i="3"/>
  <c r="BB74" i="3"/>
  <c r="BI77" i="3"/>
  <c r="AA95" i="33"/>
  <c r="AB95" i="33" s="1"/>
  <c r="AC95" i="33" s="1"/>
  <c r="CC93" i="3"/>
  <c r="M91" i="33"/>
  <c r="N91" i="33" s="1"/>
  <c r="O91" i="33" s="1"/>
  <c r="CC78" i="3"/>
  <c r="BS77" i="3"/>
  <c r="AH90" i="33"/>
  <c r="AI90" i="33" s="1"/>
  <c r="AA91" i="33"/>
  <c r="AB91" i="33" s="1"/>
  <c r="AC91" i="33" s="1"/>
  <c r="BI78" i="3"/>
  <c r="AA96" i="33"/>
  <c r="AB96" i="33" s="1"/>
  <c r="AC96" i="33" s="1"/>
  <c r="CC87" i="3"/>
  <c r="BS88" i="3"/>
  <c r="BI92" i="3"/>
  <c r="M90" i="33"/>
  <c r="N90" i="33" s="1"/>
  <c r="O90" i="33" s="1"/>
  <c r="BS74" i="3"/>
  <c r="AA85" i="33" s="1"/>
  <c r="AB85" i="33" s="1"/>
  <c r="AC85" i="33" s="1"/>
  <c r="BV74" i="3"/>
  <c r="CC75" i="3"/>
  <c r="AH86" i="33" s="1"/>
  <c r="AI86" i="33" s="1"/>
  <c r="BM74" i="3"/>
  <c r="CM74" i="3" s="1"/>
  <c r="BL80" i="3"/>
  <c r="AR78" i="3"/>
  <c r="AR79" i="3"/>
  <c r="BL92" i="3"/>
  <c r="CC92" i="3"/>
  <c r="AY75" i="3"/>
  <c r="M86" i="33" s="1"/>
  <c r="N86" i="33" s="1"/>
  <c r="BL77" i="3"/>
  <c r="BB78" i="3"/>
  <c r="BB79" i="3"/>
  <c r="BS90" i="3"/>
  <c r="BC92" i="3"/>
  <c r="AR74" i="3"/>
  <c r="BB75" i="3"/>
  <c r="AR92" i="3"/>
  <c r="AY77" i="3"/>
  <c r="AY78" i="3"/>
  <c r="M96" i="33"/>
  <c r="N96" i="33" s="1"/>
  <c r="O96" i="33" s="1"/>
  <c r="AY89" i="3"/>
  <c r="AY93" i="3"/>
  <c r="BC93" i="3"/>
  <c r="BI74" i="3"/>
  <c r="T85" i="33" s="1"/>
  <c r="U85" i="33" s="1"/>
  <c r="BS75" i="3"/>
  <c r="AA86" i="33" s="1"/>
  <c r="AB86" i="33" s="1"/>
  <c r="AR77" i="3"/>
  <c r="AR80" i="3"/>
  <c r="BV78" i="3"/>
  <c r="BV79" i="3"/>
  <c r="BB92" i="3"/>
  <c r="BM92" i="3"/>
  <c r="BV75" i="3"/>
  <c r="BB77" i="3"/>
  <c r="BB80" i="3"/>
  <c r="CM84" i="3"/>
  <c r="BM93" i="3"/>
  <c r="CC74" i="3"/>
  <c r="AH85" i="33" s="1"/>
  <c r="AI85" i="33" s="1"/>
  <c r="BW75" i="3"/>
  <c r="AY80" i="3"/>
  <c r="M89" i="33" s="1"/>
  <c r="N89" i="33" s="1"/>
  <c r="AY86" i="3"/>
  <c r="AY92" i="3"/>
  <c r="BW92" i="3"/>
  <c r="CM80" i="3"/>
  <c r="CC80" i="3"/>
  <c r="AH89" i="33" s="1"/>
  <c r="AI89" i="33" s="1"/>
  <c r="BI86" i="3"/>
  <c r="CC86" i="3"/>
  <c r="BI89" i="3"/>
  <c r="BV62" i="3"/>
  <c r="BV67" i="3"/>
  <c r="BV64" i="3"/>
  <c r="BV59" i="3"/>
  <c r="BL67" i="3"/>
  <c r="BL64" i="3"/>
  <c r="BL72" i="3"/>
  <c r="BV70" i="3"/>
  <c r="BV68" i="3"/>
  <c r="BL57" i="3"/>
  <c r="BL59" i="3"/>
  <c r="BL62" i="3"/>
  <c r="BL65" i="3"/>
  <c r="BL60" i="3"/>
  <c r="BV57" i="3"/>
  <c r="BV60" i="3"/>
  <c r="BV72" i="3"/>
  <c r="BV65" i="3"/>
  <c r="BL70" i="3"/>
  <c r="BL68" i="3"/>
  <c r="AY73" i="3"/>
  <c r="M84" i="33" s="1"/>
  <c r="N84" i="33" s="1"/>
  <c r="BB73" i="3"/>
  <c r="BV73" i="3"/>
  <c r="BI73" i="3"/>
  <c r="AR73" i="3"/>
  <c r="CC73" i="3"/>
  <c r="CL73" i="3"/>
  <c r="BL58" i="3"/>
  <c r="BL61" i="3"/>
  <c r="BL66" i="3"/>
  <c r="BL69" i="3"/>
  <c r="BL71" i="3"/>
  <c r="BL63" i="3"/>
  <c r="AR57" i="3"/>
  <c r="AR58" i="3"/>
  <c r="AR59" i="3"/>
  <c r="AR60" i="3"/>
  <c r="AR61" i="3"/>
  <c r="AR62" i="3"/>
  <c r="AR63" i="3"/>
  <c r="AR64" i="3"/>
  <c r="AR65" i="3"/>
  <c r="AR66" i="3"/>
  <c r="AR67" i="3"/>
  <c r="AR69" i="3"/>
  <c r="AR70" i="3"/>
  <c r="AR71" i="3"/>
  <c r="AR72" i="3"/>
  <c r="AR68" i="3"/>
  <c r="BV66" i="3"/>
  <c r="BV61" i="3"/>
  <c r="BV63" i="3"/>
  <c r="BV69" i="3"/>
  <c r="BV71" i="3"/>
  <c r="BV58" i="3"/>
  <c r="AS11" i="38" l="1"/>
  <c r="AU11" i="38"/>
  <c r="AQ11" i="38"/>
  <c r="AT11" i="38"/>
  <c r="AR11" i="38"/>
  <c r="AH11" i="38"/>
  <c r="AG11" i="38"/>
  <c r="AF11" i="38"/>
  <c r="AD11" i="38"/>
  <c r="AE11" i="38"/>
  <c r="S11" i="38"/>
  <c r="T11" i="38"/>
  <c r="Q11" i="38"/>
  <c r="R11" i="38"/>
  <c r="U11" i="38"/>
  <c r="CM93" i="3"/>
  <c r="CM92" i="3"/>
  <c r="CL75" i="3"/>
  <c r="AF86" i="33" s="1"/>
  <c r="AG86" i="33" s="1"/>
  <c r="CM75" i="3"/>
  <c r="Q94" i="33"/>
  <c r="R94" i="33"/>
  <c r="S94" i="33" s="1"/>
  <c r="BG80" i="3"/>
  <c r="Q89" i="33" s="1"/>
  <c r="CH80" i="3"/>
  <c r="R89" i="33" s="1"/>
  <c r="S89" i="33" s="1"/>
  <c r="Q95" i="33"/>
  <c r="R95" i="33"/>
  <c r="S95" i="33" s="1"/>
  <c r="BQ93" i="3"/>
  <c r="CJ93" i="3"/>
  <c r="CA92" i="3"/>
  <c r="CL92" i="3"/>
  <c r="BG93" i="3"/>
  <c r="CH93" i="3"/>
  <c r="BG92" i="3"/>
  <c r="CH92" i="3"/>
  <c r="BQ92" i="3"/>
  <c r="CJ92" i="3"/>
  <c r="CA79" i="3"/>
  <c r="CL79" i="3"/>
  <c r="AF93" i="33" s="1"/>
  <c r="CA75" i="3"/>
  <c r="AE86" i="33" s="1"/>
  <c r="BQ74" i="3"/>
  <c r="X85" i="33" s="1"/>
  <c r="CJ74" i="3"/>
  <c r="Y85" i="33" s="1"/>
  <c r="Z85" i="33" s="1"/>
  <c r="AK13" i="29"/>
  <c r="M215" i="33" s="1"/>
  <c r="N215" i="33" s="1"/>
  <c r="O215" i="33" s="1"/>
  <c r="AI13" i="29"/>
  <c r="AU13" i="29"/>
  <c r="T215" i="33" s="1"/>
  <c r="U215" i="33" s="1"/>
  <c r="V215" i="33" s="1"/>
  <c r="AS13" i="29"/>
  <c r="BE13" i="29"/>
  <c r="AA215" i="33" s="1"/>
  <c r="AB215" i="33" s="1"/>
  <c r="AC215" i="33" s="1"/>
  <c r="BC13" i="29"/>
  <c r="BX13" i="29"/>
  <c r="AF215" i="33" s="1"/>
  <c r="AG215" i="33" s="1"/>
  <c r="BV13" i="29"/>
  <c r="Y215" i="33" s="1"/>
  <c r="Z215" i="33" s="1"/>
  <c r="BT13" i="29"/>
  <c r="R215" i="33" s="1"/>
  <c r="S215" i="33" s="1"/>
  <c r="BR13" i="29"/>
  <c r="K215" i="33" s="1"/>
  <c r="L215" i="33" s="1"/>
  <c r="BO13" i="29"/>
  <c r="AH215" i="33" s="1"/>
  <c r="AI215" i="33" s="1"/>
  <c r="BM13" i="29"/>
  <c r="AB13" i="29"/>
  <c r="AB10" i="29"/>
  <c r="AA13" i="29"/>
  <c r="AO13" i="29" s="1"/>
  <c r="BM50" i="3"/>
  <c r="BC50" i="3"/>
  <c r="AO50" i="3"/>
  <c r="AL13" i="29" l="1"/>
  <c r="M34" i="33" s="1"/>
  <c r="N34" i="33" s="1"/>
  <c r="O34" i="33" s="1"/>
  <c r="CM50" i="3"/>
  <c r="AV13" i="29"/>
  <c r="T34" i="33" s="1"/>
  <c r="U34" i="33" s="1"/>
  <c r="V34" i="33" s="1"/>
  <c r="BP13" i="29"/>
  <c r="AH34" i="33" s="1"/>
  <c r="AI34" i="33" s="1"/>
  <c r="AF13" i="29"/>
  <c r="AP13" i="29"/>
  <c r="AZ13" i="29"/>
  <c r="BJ13" i="29"/>
  <c r="BF13" i="29"/>
  <c r="AA34" i="33" s="1"/>
  <c r="AB34" i="33" s="1"/>
  <c r="AC34" i="33" s="1"/>
  <c r="AE13" i="29"/>
  <c r="BI13" i="29"/>
  <c r="AY13" i="29"/>
  <c r="BZ13" i="29" l="1"/>
  <c r="BU13" i="29"/>
  <c r="R34" i="33" s="1"/>
  <c r="S34" i="33" s="1"/>
  <c r="AT13" i="29"/>
  <c r="Q34" i="33" s="1"/>
  <c r="AJ13" i="29"/>
  <c r="J34" i="33" s="1"/>
  <c r="BS13" i="29"/>
  <c r="K34" i="33" s="1"/>
  <c r="L34" i="33" s="1"/>
  <c r="BN13" i="29"/>
  <c r="AE34" i="33" s="1"/>
  <c r="BY13" i="29"/>
  <c r="AF34" i="33" s="1"/>
  <c r="AG34" i="33" s="1"/>
  <c r="BD13" i="29"/>
  <c r="X34" i="33" s="1"/>
  <c r="BW13" i="29"/>
  <c r="Y34" i="33" s="1"/>
  <c r="Z34" i="33" s="1"/>
  <c r="AX123" i="3"/>
  <c r="M275" i="33" s="1"/>
  <c r="AW123" i="3"/>
  <c r="AV123" i="3"/>
  <c r="CL123" i="3"/>
  <c r="CK123" i="3"/>
  <c r="AF275" i="33" s="1"/>
  <c r="CJ123" i="3"/>
  <c r="CI123" i="3"/>
  <c r="Y275" i="33" s="1"/>
  <c r="CH123" i="3"/>
  <c r="CG123" i="3"/>
  <c r="R275" i="33" s="1"/>
  <c r="CF123" i="3"/>
  <c r="CE123" i="3"/>
  <c r="K275" i="33" s="1"/>
  <c r="L275" i="33" s="1"/>
  <c r="CB123" i="3"/>
  <c r="AH275" i="33" s="1"/>
  <c r="AI275" i="33" s="1"/>
  <c r="CA123" i="3"/>
  <c r="BZ123" i="3"/>
  <c r="BR123" i="3"/>
  <c r="AA275" i="33" s="1"/>
  <c r="AB275" i="33" s="1"/>
  <c r="AC275" i="33" s="1"/>
  <c r="BQ123" i="3"/>
  <c r="BP123" i="3"/>
  <c r="BH123" i="3"/>
  <c r="T275" i="33" s="1"/>
  <c r="U275" i="33" s="1"/>
  <c r="V275" i="33" s="1"/>
  <c r="BG123" i="3"/>
  <c r="BF123" i="3"/>
  <c r="AO123" i="3"/>
  <c r="BI123" i="3" s="1"/>
  <c r="AN123" i="3"/>
  <c r="BB123" i="3" s="1"/>
  <c r="N275" i="33" l="1"/>
  <c r="O275" i="33" s="1"/>
  <c r="AY123" i="3"/>
  <c r="CC123" i="3"/>
  <c r="BS123" i="3"/>
  <c r="BL123" i="3"/>
  <c r="AR123" i="3"/>
  <c r="BV123" i="3"/>
  <c r="AC31" i="3" l="1"/>
  <c r="CL50" i="3"/>
  <c r="AF66" i="33" s="1"/>
  <c r="AG66" i="33" s="1"/>
  <c r="CJ50" i="3"/>
  <c r="Y66" i="33" s="1"/>
  <c r="Z66" i="33" s="1"/>
  <c r="CH50" i="3"/>
  <c r="R66" i="33" s="1"/>
  <c r="S66" i="33" s="1"/>
  <c r="CF50" i="3"/>
  <c r="K66" i="33" s="1"/>
  <c r="L66" i="33" s="1"/>
  <c r="CC50" i="3"/>
  <c r="AH66" i="33" s="1"/>
  <c r="AI66" i="33" s="1"/>
  <c r="CA50" i="3"/>
  <c r="AE66" i="33" s="1"/>
  <c r="BS50" i="3"/>
  <c r="AA66" i="33" s="1"/>
  <c r="AB66" i="33" s="1"/>
  <c r="AC66" i="33" s="1"/>
  <c r="BQ50" i="3"/>
  <c r="X66" i="33" s="1"/>
  <c r="BI50" i="3"/>
  <c r="T66" i="33" s="1"/>
  <c r="U66" i="33" s="1"/>
  <c r="V66" i="33" s="1"/>
  <c r="BG50" i="3"/>
  <c r="Q66" i="33" s="1"/>
  <c r="AY50" i="3"/>
  <c r="M66" i="33" s="1"/>
  <c r="AW50" i="3"/>
  <c r="J66" i="33" s="1"/>
  <c r="N66" i="33" l="1"/>
  <c r="O66" i="33" s="1"/>
  <c r="AB15" i="27"/>
  <c r="P14" i="27"/>
  <c r="AA15" i="27"/>
  <c r="AE15" i="27" s="1"/>
  <c r="BX15" i="27"/>
  <c r="BV15" i="27"/>
  <c r="BT15" i="27"/>
  <c r="BR15" i="27"/>
  <c r="BO15" i="27"/>
  <c r="BM15" i="27"/>
  <c r="BE15" i="27"/>
  <c r="BC15" i="27"/>
  <c r="AU15" i="27"/>
  <c r="AS15" i="27"/>
  <c r="AK15" i="27"/>
  <c r="AI15" i="27"/>
  <c r="T205" i="33" l="1"/>
  <c r="U205" i="33" s="1"/>
  <c r="V205" i="33" s="1"/>
  <c r="AA205" i="33"/>
  <c r="AB205" i="33" s="1"/>
  <c r="AC205" i="33" s="1"/>
  <c r="K205" i="33"/>
  <c r="L205" i="33" s="1"/>
  <c r="R205" i="33"/>
  <c r="S205" i="33" s="1"/>
  <c r="M205" i="33"/>
  <c r="N205" i="33" s="1"/>
  <c r="O205" i="33" s="1"/>
  <c r="Y205" i="33"/>
  <c r="Z205" i="33" s="1"/>
  <c r="AF205" i="33"/>
  <c r="AG205" i="33" s="1"/>
  <c r="AH205" i="33"/>
  <c r="AI205" i="33" s="1"/>
  <c r="BF15" i="27"/>
  <c r="AF15" i="27"/>
  <c r="BS15" i="27" s="1"/>
  <c r="BJ15" i="27"/>
  <c r="BY15" i="27" s="1"/>
  <c r="AZ15" i="27"/>
  <c r="BW15" i="27" s="1"/>
  <c r="AP15" i="27"/>
  <c r="AT15" i="27" s="1"/>
  <c r="AV15" i="27"/>
  <c r="BP15" i="27"/>
  <c r="AL15" i="27"/>
  <c r="AY15" i="27"/>
  <c r="BI15" i="27"/>
  <c r="AO15" i="27"/>
  <c r="AH17" i="33" l="1"/>
  <c r="AI17" i="33" s="1"/>
  <c r="AF17" i="33"/>
  <c r="AG17" i="33" s="1"/>
  <c r="T17" i="33"/>
  <c r="U17" i="33" s="1"/>
  <c r="V17" i="33" s="1"/>
  <c r="K17" i="33"/>
  <c r="L17" i="33" s="1"/>
  <c r="Y17" i="33"/>
  <c r="Z17" i="33" s="1"/>
  <c r="M17" i="33"/>
  <c r="N17" i="33" s="1"/>
  <c r="O17" i="33" s="1"/>
  <c r="AA17" i="33"/>
  <c r="AB17" i="33" s="1"/>
  <c r="AC17" i="33" s="1"/>
  <c r="Q17" i="33"/>
  <c r="AE17" i="33"/>
  <c r="BZ15" i="27"/>
  <c r="BU15" i="27"/>
  <c r="BD15" i="27"/>
  <c r="AJ15" i="27"/>
  <c r="BN15" i="27"/>
  <c r="CK163" i="3"/>
  <c r="AF199" i="33" s="1"/>
  <c r="AG199" i="33" s="1"/>
  <c r="CI163" i="3"/>
  <c r="Y199" i="33" s="1"/>
  <c r="Z199" i="33" s="1"/>
  <c r="CG163" i="3"/>
  <c r="R199" i="33" s="1"/>
  <c r="S199" i="33" s="1"/>
  <c r="CE163" i="3"/>
  <c r="K199" i="33" s="1"/>
  <c r="L199" i="33" s="1"/>
  <c r="CB163" i="3"/>
  <c r="AH199" i="33" s="1"/>
  <c r="AI199" i="33" s="1"/>
  <c r="BZ163" i="3"/>
  <c r="CK162" i="3"/>
  <c r="AF198" i="33" s="1"/>
  <c r="CI162" i="3"/>
  <c r="Y198" i="33" s="1"/>
  <c r="CG162" i="3"/>
  <c r="R198" i="33" s="1"/>
  <c r="CE162" i="3"/>
  <c r="K198" i="33" s="1"/>
  <c r="L198" i="33" s="1"/>
  <c r="CB162" i="3"/>
  <c r="AH198" i="33" s="1"/>
  <c r="AI198" i="33" s="1"/>
  <c r="BZ162" i="3"/>
  <c r="CK161" i="3"/>
  <c r="AF197" i="33" s="1"/>
  <c r="CI161" i="3"/>
  <c r="Y197" i="33" s="1"/>
  <c r="CG161" i="3"/>
  <c r="R197" i="33" s="1"/>
  <c r="CE161" i="3"/>
  <c r="K197" i="33" s="1"/>
  <c r="L197" i="33" s="1"/>
  <c r="CB161" i="3"/>
  <c r="AH197" i="33" s="1"/>
  <c r="AI197" i="33" s="1"/>
  <c r="BZ161" i="3"/>
  <c r="CK160" i="3"/>
  <c r="AF196" i="33" s="1"/>
  <c r="CI160" i="3"/>
  <c r="Y196" i="33" s="1"/>
  <c r="CG160" i="3"/>
  <c r="R196" i="33" s="1"/>
  <c r="S196" i="33" s="1"/>
  <c r="CE160" i="3"/>
  <c r="K196" i="33" s="1"/>
  <c r="CB160" i="3"/>
  <c r="AH196" i="33" s="1"/>
  <c r="AI196" i="33" s="1"/>
  <c r="BZ160" i="3"/>
  <c r="CK159" i="3"/>
  <c r="AF195" i="33" s="1"/>
  <c r="CI159" i="3"/>
  <c r="Y195" i="33" s="1"/>
  <c r="CG159" i="3"/>
  <c r="R195" i="33" s="1"/>
  <c r="CE159" i="3"/>
  <c r="K195" i="33" s="1"/>
  <c r="L195" i="33" s="1"/>
  <c r="CB159" i="3"/>
  <c r="AH195" i="33" s="1"/>
  <c r="AI195" i="33" s="1"/>
  <c r="BZ159" i="3"/>
  <c r="CK158" i="3"/>
  <c r="CI158" i="3"/>
  <c r="CG158" i="3"/>
  <c r="CE158" i="3"/>
  <c r="CB158" i="3"/>
  <c r="BZ158" i="3"/>
  <c r="CK157" i="3"/>
  <c r="CI157" i="3"/>
  <c r="CG157" i="3"/>
  <c r="CE157" i="3"/>
  <c r="K300" i="33" s="1"/>
  <c r="L300" i="33" s="1"/>
  <c r="CB157" i="3"/>
  <c r="BZ157" i="3"/>
  <c r="CK155" i="3"/>
  <c r="AF298" i="33" s="1"/>
  <c r="CI155" i="3"/>
  <c r="Y298" i="33" s="1"/>
  <c r="Z298" i="33" s="1"/>
  <c r="CG155" i="3"/>
  <c r="R298" i="33" s="1"/>
  <c r="CE155" i="3"/>
  <c r="CB155" i="3"/>
  <c r="AH298" i="33" s="1"/>
  <c r="AI298" i="33" s="1"/>
  <c r="BZ155" i="3"/>
  <c r="CK154" i="3"/>
  <c r="AF358" i="33" s="1"/>
  <c r="CI154" i="3"/>
  <c r="Y358" i="33" s="1"/>
  <c r="CG154" i="3"/>
  <c r="R358" i="33" s="1"/>
  <c r="S358" i="33" s="1"/>
  <c r="CE154" i="3"/>
  <c r="K358" i="33" s="1"/>
  <c r="CB154" i="3"/>
  <c r="AH358" i="33" s="1"/>
  <c r="AI358" i="33" s="1"/>
  <c r="BZ154" i="3"/>
  <c r="BV154" i="3"/>
  <c r="CK153" i="3"/>
  <c r="AF194" i="33" s="1"/>
  <c r="CI153" i="3"/>
  <c r="Y194" i="33" s="1"/>
  <c r="CG153" i="3"/>
  <c r="R194" i="33" s="1"/>
  <c r="S194" i="33" s="1"/>
  <c r="CE153" i="3"/>
  <c r="K194" i="33" s="1"/>
  <c r="CB153" i="3"/>
  <c r="AH194" i="33" s="1"/>
  <c r="AI194" i="33" s="1"/>
  <c r="BZ153" i="3"/>
  <c r="CK152" i="3"/>
  <c r="AF297" i="33" s="1"/>
  <c r="CI152" i="3"/>
  <c r="Y297" i="33" s="1"/>
  <c r="CG152" i="3"/>
  <c r="R297" i="33" s="1"/>
  <c r="S297" i="33" s="1"/>
  <c r="CE152" i="3"/>
  <c r="K297" i="33" s="1"/>
  <c r="CB152" i="3"/>
  <c r="AH297" i="33" s="1"/>
  <c r="AI297" i="33" s="1"/>
  <c r="BZ152" i="3"/>
  <c r="BR163" i="3"/>
  <c r="AA199" i="33" s="1"/>
  <c r="AB199" i="33" s="1"/>
  <c r="AC199" i="33" s="1"/>
  <c r="BP163" i="3"/>
  <c r="BR162" i="3"/>
  <c r="AA198" i="33" s="1"/>
  <c r="AB198" i="33" s="1"/>
  <c r="AC198" i="33" s="1"/>
  <c r="BP162" i="3"/>
  <c r="BR161" i="3"/>
  <c r="AA197" i="33" s="1"/>
  <c r="AB197" i="33" s="1"/>
  <c r="AC197" i="33" s="1"/>
  <c r="BP161" i="3"/>
  <c r="BR160" i="3"/>
  <c r="AA196" i="33" s="1"/>
  <c r="AB196" i="33" s="1"/>
  <c r="AC196" i="33" s="1"/>
  <c r="BP160" i="3"/>
  <c r="BR159" i="3"/>
  <c r="AA195" i="33" s="1"/>
  <c r="AB195" i="33" s="1"/>
  <c r="AC195" i="33" s="1"/>
  <c r="BP159" i="3"/>
  <c r="BR158" i="3"/>
  <c r="BP158" i="3"/>
  <c r="BR157" i="3"/>
  <c r="AC300" i="33" s="1"/>
  <c r="BP157" i="3"/>
  <c r="BR155" i="3"/>
  <c r="AA298" i="33" s="1"/>
  <c r="AB298" i="33" s="1"/>
  <c r="AC298" i="33" s="1"/>
  <c r="BP155" i="3"/>
  <c r="BR154" i="3"/>
  <c r="AA358" i="33" s="1"/>
  <c r="AB358" i="33" s="1"/>
  <c r="AC358" i="33" s="1"/>
  <c r="BP154" i="3"/>
  <c r="BL154" i="3"/>
  <c r="BR153" i="3"/>
  <c r="AA194" i="33" s="1"/>
  <c r="AB194" i="33" s="1"/>
  <c r="AC194" i="33" s="1"/>
  <c r="BP153" i="3"/>
  <c r="BR152" i="3"/>
  <c r="AA297" i="33" s="1"/>
  <c r="AB297" i="33" s="1"/>
  <c r="AC297" i="33" s="1"/>
  <c r="BP152" i="3"/>
  <c r="BH163" i="3"/>
  <c r="T199" i="33" s="1"/>
  <c r="U199" i="33" s="1"/>
  <c r="V199" i="33" s="1"/>
  <c r="BF163" i="3"/>
  <c r="BH162" i="3"/>
  <c r="T198" i="33" s="1"/>
  <c r="U198" i="33" s="1"/>
  <c r="V198" i="33" s="1"/>
  <c r="BF162" i="3"/>
  <c r="BH161" i="3"/>
  <c r="T197" i="33" s="1"/>
  <c r="U197" i="33" s="1"/>
  <c r="V197" i="33" s="1"/>
  <c r="BF161" i="3"/>
  <c r="BH160" i="3"/>
  <c r="T196" i="33" s="1"/>
  <c r="U196" i="33" s="1"/>
  <c r="V196" i="33" s="1"/>
  <c r="BF160" i="3"/>
  <c r="BH159" i="3"/>
  <c r="T195" i="33" s="1"/>
  <c r="U195" i="33" s="1"/>
  <c r="V195" i="33" s="1"/>
  <c r="BF159" i="3"/>
  <c r="BH158" i="3"/>
  <c r="BF158" i="3"/>
  <c r="BH157" i="3"/>
  <c r="V300" i="33" s="1"/>
  <c r="BH155" i="3"/>
  <c r="T298" i="33" s="1"/>
  <c r="U298" i="33" s="1"/>
  <c r="V298" i="33" s="1"/>
  <c r="BF155" i="3"/>
  <c r="BH154" i="3"/>
  <c r="T358" i="33" s="1"/>
  <c r="U358" i="33" s="1"/>
  <c r="V358" i="33" s="1"/>
  <c r="BF154" i="3"/>
  <c r="BB154" i="3"/>
  <c r="BH153" i="3"/>
  <c r="T194" i="33" s="1"/>
  <c r="U194" i="33" s="1"/>
  <c r="V194" i="33" s="1"/>
  <c r="BF153" i="3"/>
  <c r="BH152" i="3"/>
  <c r="T297" i="33" s="1"/>
  <c r="U297" i="33" s="1"/>
  <c r="V297" i="33" s="1"/>
  <c r="BF152" i="3"/>
  <c r="AX163" i="3"/>
  <c r="M199" i="33" s="1"/>
  <c r="N199" i="33" s="1"/>
  <c r="O199" i="33" s="1"/>
  <c r="AV163" i="3"/>
  <c r="AX162" i="3"/>
  <c r="M198" i="33" s="1"/>
  <c r="N198" i="33" s="1"/>
  <c r="O198" i="33" s="1"/>
  <c r="AV162" i="3"/>
  <c r="AX161" i="3"/>
  <c r="M197" i="33" s="1"/>
  <c r="N197" i="33" s="1"/>
  <c r="O197" i="33" s="1"/>
  <c r="AV161" i="3"/>
  <c r="AX160" i="3"/>
  <c r="M196" i="33" s="1"/>
  <c r="N196" i="33" s="1"/>
  <c r="AV160" i="3"/>
  <c r="AX159" i="3"/>
  <c r="M195" i="33" s="1"/>
  <c r="N195" i="33" s="1"/>
  <c r="O195" i="33" s="1"/>
  <c r="AV159" i="3"/>
  <c r="AX158" i="3"/>
  <c r="AX157" i="3"/>
  <c r="M300" i="33" s="1"/>
  <c r="N300" i="33" s="1"/>
  <c r="O300" i="33" s="1"/>
  <c r="AX155" i="3"/>
  <c r="M298" i="33" s="1"/>
  <c r="N298" i="33" s="1"/>
  <c r="O298" i="33" s="1"/>
  <c r="AV155" i="3"/>
  <c r="M358" i="33"/>
  <c r="N358" i="33" s="1"/>
  <c r="AX153" i="3"/>
  <c r="M194" i="33" s="1"/>
  <c r="N194" i="33" s="1"/>
  <c r="AX152" i="3"/>
  <c r="M297" i="33" s="1"/>
  <c r="N297" i="33" s="1"/>
  <c r="AV152" i="3"/>
  <c r="AO163" i="3"/>
  <c r="BW163" i="3" s="1"/>
  <c r="CL163" i="3" s="1"/>
  <c r="AN163" i="3"/>
  <c r="BL163" i="3" s="1"/>
  <c r="AO162" i="3"/>
  <c r="BC162" i="3" s="1"/>
  <c r="AN162" i="3"/>
  <c r="BV162" i="3" s="1"/>
  <c r="AO161" i="3"/>
  <c r="AN161" i="3"/>
  <c r="AR161" i="3" s="1"/>
  <c r="AO160" i="3"/>
  <c r="AN160" i="3"/>
  <c r="BV160" i="3" s="1"/>
  <c r="AO159" i="3"/>
  <c r="AN159" i="3"/>
  <c r="BB159" i="3" s="1"/>
  <c r="AO155" i="3"/>
  <c r="AN155" i="3"/>
  <c r="AO153" i="3"/>
  <c r="AN153" i="3"/>
  <c r="BL153" i="3" s="1"/>
  <c r="AO152" i="3"/>
  <c r="BC152" i="3" s="1"/>
  <c r="AN152" i="3"/>
  <c r="BV152" i="3" s="1"/>
  <c r="CK20" i="3"/>
  <c r="AF242" i="33" s="1"/>
  <c r="CI20" i="3"/>
  <c r="Y242" i="33" s="1"/>
  <c r="Z242" i="33" s="1"/>
  <c r="CG20" i="3"/>
  <c r="R242" i="33" s="1"/>
  <c r="S242" i="33" s="1"/>
  <c r="CE20" i="3"/>
  <c r="K242" i="33" s="1"/>
  <c r="L242" i="33" s="1"/>
  <c r="CB20" i="3"/>
  <c r="AH242" i="33" s="1"/>
  <c r="AI242" i="33" s="1"/>
  <c r="BZ20" i="3"/>
  <c r="BR20" i="3"/>
  <c r="AA242" i="33" s="1"/>
  <c r="AB242" i="33" s="1"/>
  <c r="AC242" i="33" s="1"/>
  <c r="BP20" i="3"/>
  <c r="BH20" i="3"/>
  <c r="T242" i="33" s="1"/>
  <c r="U242" i="33" s="1"/>
  <c r="V242" i="33" s="1"/>
  <c r="BF20" i="3"/>
  <c r="AX20" i="3"/>
  <c r="M242" i="33" s="1"/>
  <c r="AV20" i="3"/>
  <c r="AO20" i="3"/>
  <c r="BS20" i="3" s="1"/>
  <c r="AN20" i="3"/>
  <c r="BB20" i="3" s="1"/>
  <c r="CC155" i="3" l="1"/>
  <c r="BS155" i="3"/>
  <c r="BI155" i="3"/>
  <c r="K298" i="33"/>
  <c r="L298" i="33" s="1"/>
  <c r="R359" i="33"/>
  <c r="S359" i="33" s="1"/>
  <c r="Y359" i="33"/>
  <c r="AF359" i="33"/>
  <c r="AG359" i="33" s="1"/>
  <c r="AA359" i="33"/>
  <c r="AB359" i="33" s="1"/>
  <c r="AC359" i="33" s="1"/>
  <c r="K359" i="33"/>
  <c r="BM153" i="3"/>
  <c r="CJ153" i="3" s="1"/>
  <c r="AY153" i="3"/>
  <c r="BM155" i="3"/>
  <c r="AY155" i="3"/>
  <c r="T359" i="33"/>
  <c r="U359" i="33" s="1"/>
  <c r="V359" i="33" s="1"/>
  <c r="M359" i="33"/>
  <c r="N359" i="33" s="1"/>
  <c r="AH359" i="33"/>
  <c r="AI359" i="33" s="1"/>
  <c r="J17" i="33"/>
  <c r="R17" i="33"/>
  <c r="S17" i="33" s="1"/>
  <c r="X17" i="33"/>
  <c r="BM160" i="3"/>
  <c r="CJ160" i="3" s="1"/>
  <c r="CC182" i="3"/>
  <c r="BL155" i="3"/>
  <c r="AR155" i="3"/>
  <c r="AS161" i="3"/>
  <c r="AW161" i="3" s="1"/>
  <c r="AY159" i="3"/>
  <c r="CC181" i="3"/>
  <c r="N242" i="33"/>
  <c r="O242" i="33" s="1"/>
  <c r="BI160" i="3"/>
  <c r="BV159" i="3"/>
  <c r="AR159" i="3"/>
  <c r="AY161" i="3"/>
  <c r="BS162" i="3"/>
  <c r="BM163" i="3"/>
  <c r="BQ163" i="3" s="1"/>
  <c r="BC159" i="3"/>
  <c r="BG159" i="3" s="1"/>
  <c r="BI162" i="3"/>
  <c r="BS160" i="3"/>
  <c r="BW155" i="3"/>
  <c r="AS153" i="3"/>
  <c r="AW153" i="3" s="1"/>
  <c r="AR160" i="3"/>
  <c r="AY162" i="3"/>
  <c r="BI153" i="3"/>
  <c r="BW162" i="3"/>
  <c r="CL162" i="3" s="1"/>
  <c r="BI163" i="3"/>
  <c r="BS161" i="3"/>
  <c r="CC153" i="3"/>
  <c r="BB152" i="3"/>
  <c r="CC152" i="3"/>
  <c r="BL160" i="3"/>
  <c r="BG152" i="3"/>
  <c r="CH152" i="3"/>
  <c r="CH162" i="3"/>
  <c r="BG162" i="3"/>
  <c r="CC163" i="3"/>
  <c r="AY152" i="3"/>
  <c r="AS160" i="3"/>
  <c r="AR163" i="3"/>
  <c r="BB161" i="3"/>
  <c r="BL152" i="3"/>
  <c r="BL159" i="3"/>
  <c r="BL162" i="3"/>
  <c r="BV153" i="3"/>
  <c r="BW159" i="3"/>
  <c r="CC160" i="3"/>
  <c r="AR153" i="3"/>
  <c r="AS155" i="3"/>
  <c r="AS163" i="3"/>
  <c r="BI152" i="3"/>
  <c r="BC161" i="3"/>
  <c r="BM152" i="3"/>
  <c r="BS153" i="3"/>
  <c r="BM159" i="3"/>
  <c r="BM162" i="3"/>
  <c r="BW153" i="3"/>
  <c r="BV161" i="3"/>
  <c r="BS163" i="3"/>
  <c r="BW161" i="3"/>
  <c r="AR152" i="3"/>
  <c r="AS159" i="3"/>
  <c r="AR162" i="3"/>
  <c r="BC153" i="3"/>
  <c r="BB155" i="3"/>
  <c r="BB160" i="3"/>
  <c r="BB163" i="3"/>
  <c r="BL161" i="3"/>
  <c r="CC159" i="3"/>
  <c r="CC162" i="3"/>
  <c r="BV163" i="3"/>
  <c r="BB153" i="3"/>
  <c r="BI159" i="3"/>
  <c r="AS152" i="3"/>
  <c r="AY160" i="3"/>
  <c r="AS162" i="3"/>
  <c r="AY163" i="3"/>
  <c r="BC155" i="3"/>
  <c r="BC160" i="3"/>
  <c r="BI161" i="3"/>
  <c r="BC163" i="3"/>
  <c r="BS152" i="3"/>
  <c r="BS159" i="3"/>
  <c r="BM161" i="3"/>
  <c r="BW152" i="3"/>
  <c r="BV155" i="3"/>
  <c r="BW160" i="3"/>
  <c r="CA182" i="3" s="1"/>
  <c r="CC161" i="3"/>
  <c r="BB162" i="3"/>
  <c r="CA163" i="3"/>
  <c r="CL20" i="3"/>
  <c r="BI20" i="3"/>
  <c r="CC20" i="3"/>
  <c r="AY20" i="3"/>
  <c r="BL20" i="3"/>
  <c r="AR20" i="3"/>
  <c r="BV20" i="3"/>
  <c r="CH155" i="3" l="1"/>
  <c r="BG155" i="3"/>
  <c r="CJ155" i="3"/>
  <c r="BQ155" i="3"/>
  <c r="CL155" i="3"/>
  <c r="CA155" i="3"/>
  <c r="BQ153" i="3"/>
  <c r="CF155" i="3"/>
  <c r="AW155" i="3"/>
  <c r="CF161" i="3"/>
  <c r="CL159" i="3"/>
  <c r="CA181" i="3"/>
  <c r="BQ160" i="3"/>
  <c r="CM162" i="3"/>
  <c r="CM155" i="3"/>
  <c r="CM161" i="3"/>
  <c r="CM153" i="3"/>
  <c r="AW20" i="3"/>
  <c r="CM20" i="3"/>
  <c r="CM152" i="3"/>
  <c r="CM163" i="3"/>
  <c r="CM159" i="3"/>
  <c r="CM160" i="3"/>
  <c r="CH159" i="3"/>
  <c r="CA20" i="3"/>
  <c r="CA162" i="3"/>
  <c r="CF153" i="3"/>
  <c r="CJ163" i="3"/>
  <c r="BQ152" i="3"/>
  <c r="CJ152" i="3"/>
  <c r="BG161" i="3"/>
  <c r="CH161" i="3"/>
  <c r="BG163" i="3"/>
  <c r="CH163" i="3"/>
  <c r="AW159" i="3"/>
  <c r="CF159" i="3"/>
  <c r="AW160" i="3"/>
  <c r="CF160" i="3"/>
  <c r="CA152" i="3"/>
  <c r="CL152" i="3"/>
  <c r="CL153" i="3"/>
  <c r="CA153" i="3"/>
  <c r="AW163" i="3"/>
  <c r="CF163" i="3"/>
  <c r="BQ161" i="3"/>
  <c r="CJ161" i="3"/>
  <c r="AW162" i="3"/>
  <c r="CF162" i="3"/>
  <c r="BQ162" i="3"/>
  <c r="CJ162" i="3"/>
  <c r="BG153" i="3"/>
  <c r="CH153" i="3"/>
  <c r="BG160" i="3"/>
  <c r="CH160" i="3"/>
  <c r="CA159" i="3"/>
  <c r="CA161" i="3"/>
  <c r="CL161" i="3"/>
  <c r="BQ159" i="3"/>
  <c r="CJ159" i="3"/>
  <c r="CA160" i="3"/>
  <c r="CL160" i="3"/>
  <c r="AW152" i="3"/>
  <c r="CF152" i="3"/>
  <c r="CH20" i="3"/>
  <c r="BG20" i="3"/>
  <c r="CF20" i="3"/>
  <c r="CJ20" i="3"/>
  <c r="BQ20" i="3"/>
  <c r="AC122" i="3" l="1"/>
  <c r="CK151" i="3" l="1"/>
  <c r="AF355" i="33" s="1"/>
  <c r="AG355" i="33" s="1"/>
  <c r="CJ151" i="3"/>
  <c r="CI151" i="3"/>
  <c r="Y355" i="33" s="1"/>
  <c r="CH151" i="3"/>
  <c r="CG151" i="3"/>
  <c r="R355" i="33" s="1"/>
  <c r="S355" i="33" s="1"/>
  <c r="CE151" i="3"/>
  <c r="K355" i="33" s="1"/>
  <c r="CK150" i="3"/>
  <c r="AF354" i="33" s="1"/>
  <c r="AG354" i="33" s="1"/>
  <c r="CJ150" i="3"/>
  <c r="CI150" i="3"/>
  <c r="Y354" i="33" s="1"/>
  <c r="Z354" i="33" s="1"/>
  <c r="CH150" i="3"/>
  <c r="CG150" i="3"/>
  <c r="R354" i="33" s="1"/>
  <c r="S354" i="33" s="1"/>
  <c r="CE150" i="3"/>
  <c r="K354" i="33" s="1"/>
  <c r="L354" i="33" s="1"/>
  <c r="CK149" i="3"/>
  <c r="AF290" i="33" s="1"/>
  <c r="AG290" i="33" s="1"/>
  <c r="CJ149" i="3"/>
  <c r="CI149" i="3"/>
  <c r="Y290" i="33" s="1"/>
  <c r="Z290" i="33" s="1"/>
  <c r="CH149" i="3"/>
  <c r="CG149" i="3"/>
  <c r="R290" i="33" s="1"/>
  <c r="CE149" i="3"/>
  <c r="K290" i="33" s="1"/>
  <c r="L290" i="33" s="1"/>
  <c r="CB151" i="3"/>
  <c r="AH355" i="33" s="1"/>
  <c r="AI355" i="33" s="1"/>
  <c r="BZ151" i="3"/>
  <c r="CB150" i="3"/>
  <c r="AH354" i="33" s="1"/>
  <c r="AI354" i="33" s="1"/>
  <c r="BZ150" i="3"/>
  <c r="CB149" i="3"/>
  <c r="AH290" i="33" s="1"/>
  <c r="AI290" i="33" s="1"/>
  <c r="BZ149" i="3"/>
  <c r="BR151" i="3"/>
  <c r="AA355" i="33" s="1"/>
  <c r="AB355" i="33" s="1"/>
  <c r="AC355" i="33" s="1"/>
  <c r="BQ151" i="3"/>
  <c r="BP151" i="3"/>
  <c r="BR150" i="3"/>
  <c r="AA354" i="33" s="1"/>
  <c r="AB354" i="33" s="1"/>
  <c r="AC354" i="33" s="1"/>
  <c r="BQ150" i="3"/>
  <c r="BP150" i="3"/>
  <c r="BR149" i="3"/>
  <c r="AA290" i="33" s="1"/>
  <c r="AB290" i="33" s="1"/>
  <c r="AC290" i="33" s="1"/>
  <c r="BQ149" i="3"/>
  <c r="BP149" i="3"/>
  <c r="BR148" i="3"/>
  <c r="AA289" i="33" s="1"/>
  <c r="AB289" i="33" s="1"/>
  <c r="AC289" i="33" s="1"/>
  <c r="BQ148" i="3"/>
  <c r="BP148" i="3"/>
  <c r="BH151" i="3"/>
  <c r="T355" i="33" s="1"/>
  <c r="U355" i="33" s="1"/>
  <c r="V355" i="33" s="1"/>
  <c r="BG151" i="3"/>
  <c r="BF151" i="3"/>
  <c r="BH150" i="3"/>
  <c r="T354" i="33" s="1"/>
  <c r="U354" i="33" s="1"/>
  <c r="V354" i="33" s="1"/>
  <c r="BG150" i="3"/>
  <c r="BF150" i="3"/>
  <c r="BH149" i="3"/>
  <c r="T290" i="33" s="1"/>
  <c r="U290" i="33" s="1"/>
  <c r="V290" i="33" s="1"/>
  <c r="BG149" i="3"/>
  <c r="BF149" i="3"/>
  <c r="BH148" i="3"/>
  <c r="T289" i="33" s="1"/>
  <c r="U289" i="33" s="1"/>
  <c r="V289" i="33" s="1"/>
  <c r="BG148" i="3"/>
  <c r="BF148" i="3"/>
  <c r="BH147" i="3"/>
  <c r="T288" i="33" s="1"/>
  <c r="U288" i="33" s="1"/>
  <c r="V288" i="33" s="1"/>
  <c r="BG147" i="3"/>
  <c r="BF147" i="3"/>
  <c r="AX151" i="3"/>
  <c r="M355" i="33" s="1"/>
  <c r="N355" i="33" s="1"/>
  <c r="AV151" i="3"/>
  <c r="AX150" i="3"/>
  <c r="M354" i="33" s="1"/>
  <c r="N354" i="33" s="1"/>
  <c r="O354" i="33" s="1"/>
  <c r="AV150" i="3"/>
  <c r="AX149" i="3"/>
  <c r="M290" i="33" s="1"/>
  <c r="N290" i="33" s="1"/>
  <c r="O290" i="33" s="1"/>
  <c r="AV149" i="3"/>
  <c r="AX148" i="3"/>
  <c r="M289" i="33" s="1"/>
  <c r="N289" i="33" s="1"/>
  <c r="AV148" i="3"/>
  <c r="AX147" i="3"/>
  <c r="M288" i="33" s="1"/>
  <c r="N288" i="33" s="1"/>
  <c r="O288" i="33" s="1"/>
  <c r="AV147" i="3"/>
  <c r="AX146" i="3"/>
  <c r="M287" i="33" s="1"/>
  <c r="N287" i="33" s="1"/>
  <c r="AV146" i="3"/>
  <c r="AO151" i="3"/>
  <c r="BS151" i="3" s="1"/>
  <c r="AO150" i="3"/>
  <c r="CC150" i="3" s="1"/>
  <c r="AO149" i="3"/>
  <c r="BI149" i="3" s="1"/>
  <c r="AO148" i="3"/>
  <c r="BW148" i="3" s="1"/>
  <c r="AO147" i="3"/>
  <c r="BI147" i="3" s="1"/>
  <c r="AO146" i="3"/>
  <c r="BS146" i="3" s="1"/>
  <c r="AN151" i="3"/>
  <c r="BB151" i="3" s="1"/>
  <c r="AN150" i="3"/>
  <c r="BB150" i="3" s="1"/>
  <c r="AN149" i="3"/>
  <c r="BV149" i="3" s="1"/>
  <c r="AN148" i="3"/>
  <c r="BB148" i="3" s="1"/>
  <c r="AN147" i="3"/>
  <c r="BV147" i="3" s="1"/>
  <c r="AN146" i="3"/>
  <c r="BV146" i="3" s="1"/>
  <c r="CK148" i="3"/>
  <c r="AF289" i="33" s="1"/>
  <c r="AG289" i="33" s="1"/>
  <c r="CJ148" i="3"/>
  <c r="CI148" i="3"/>
  <c r="Y289" i="33" s="1"/>
  <c r="CH148" i="3"/>
  <c r="CG148" i="3"/>
  <c r="R289" i="33" s="1"/>
  <c r="S289" i="33" s="1"/>
  <c r="CE148" i="3"/>
  <c r="K289" i="33" s="1"/>
  <c r="CB148" i="3"/>
  <c r="AH289" i="33" s="1"/>
  <c r="AI289" i="33" s="1"/>
  <c r="BZ148" i="3"/>
  <c r="CK147" i="3"/>
  <c r="AF288" i="33" s="1"/>
  <c r="CJ147" i="3"/>
  <c r="CI147" i="3"/>
  <c r="Y288" i="33" s="1"/>
  <c r="CH147" i="3"/>
  <c r="CG147" i="3"/>
  <c r="R288" i="33" s="1"/>
  <c r="CE147" i="3"/>
  <c r="K288" i="33" s="1"/>
  <c r="L288" i="33" s="1"/>
  <c r="CB147" i="3"/>
  <c r="AH288" i="33" s="1"/>
  <c r="AI288" i="33" s="1"/>
  <c r="BZ147" i="3"/>
  <c r="CK146" i="3"/>
  <c r="AF287" i="33" s="1"/>
  <c r="AG287" i="33" s="1"/>
  <c r="CJ146" i="3"/>
  <c r="CI146" i="3"/>
  <c r="Y287" i="33" s="1"/>
  <c r="CH146" i="3"/>
  <c r="CG146" i="3"/>
  <c r="R287" i="33" s="1"/>
  <c r="S287" i="33" s="1"/>
  <c r="CE146" i="3"/>
  <c r="K287" i="33" s="1"/>
  <c r="CB146" i="3"/>
  <c r="AH287" i="33" s="1"/>
  <c r="AI287" i="33" s="1"/>
  <c r="BZ146" i="3"/>
  <c r="CK145" i="3"/>
  <c r="CJ145" i="3"/>
  <c r="CI145" i="3"/>
  <c r="Y356" i="33" s="1"/>
  <c r="CH145" i="3"/>
  <c r="CG145" i="3"/>
  <c r="R356" i="33" s="1"/>
  <c r="CE145" i="3"/>
  <c r="K356" i="33" s="1"/>
  <c r="CB145" i="3"/>
  <c r="BZ145" i="3"/>
  <c r="CK144" i="3"/>
  <c r="AF296" i="33" s="1"/>
  <c r="AG296" i="33" s="1"/>
  <c r="AP17" i="38" s="1"/>
  <c r="CJ144" i="3"/>
  <c r="CI144" i="3"/>
  <c r="Y296" i="33" s="1"/>
  <c r="CH144" i="3"/>
  <c r="CG144" i="3"/>
  <c r="R296" i="33" s="1"/>
  <c r="CE144" i="3"/>
  <c r="K296" i="33" s="1"/>
  <c r="CB144" i="3"/>
  <c r="AH296" i="33" s="1"/>
  <c r="AI296" i="33" s="1"/>
  <c r="BZ144" i="3"/>
  <c r="CL143" i="3"/>
  <c r="CK143" i="3"/>
  <c r="AF295" i="33" s="1"/>
  <c r="CJ143" i="3"/>
  <c r="CI143" i="3"/>
  <c r="Y295" i="33" s="1"/>
  <c r="CH143" i="3"/>
  <c r="CG143" i="3"/>
  <c r="R295" i="33" s="1"/>
  <c r="S295" i="33" s="1"/>
  <c r="P17" i="38" s="1"/>
  <c r="CE143" i="3"/>
  <c r="K295" i="33" s="1"/>
  <c r="CB143" i="3"/>
  <c r="AH295" i="33" s="1"/>
  <c r="AI295" i="33" s="1"/>
  <c r="CA143" i="3"/>
  <c r="BZ143" i="3"/>
  <c r="CL142" i="3"/>
  <c r="CK142" i="3"/>
  <c r="AF193" i="33" s="1"/>
  <c r="CJ142" i="3"/>
  <c r="CI142" i="3"/>
  <c r="Y193" i="33" s="1"/>
  <c r="CH142" i="3"/>
  <c r="CG142" i="3"/>
  <c r="R193" i="33" s="1"/>
  <c r="CF142" i="3"/>
  <c r="CE142" i="3"/>
  <c r="K193" i="33" s="1"/>
  <c r="L193" i="33" s="1"/>
  <c r="CB142" i="3"/>
  <c r="AH193" i="33" s="1"/>
  <c r="AI193" i="33" s="1"/>
  <c r="CA142" i="3"/>
  <c r="BZ142" i="3"/>
  <c r="BR147" i="3"/>
  <c r="AA288" i="33" s="1"/>
  <c r="AB288" i="33" s="1"/>
  <c r="AC288" i="33" s="1"/>
  <c r="BQ147" i="3"/>
  <c r="BP147" i="3"/>
  <c r="BR146" i="3"/>
  <c r="AA287" i="33" s="1"/>
  <c r="AB287" i="33" s="1"/>
  <c r="AC287" i="33" s="1"/>
  <c r="BQ146" i="3"/>
  <c r="BP146" i="3"/>
  <c r="BR145" i="3"/>
  <c r="AA356" i="33" s="1"/>
  <c r="AB356" i="33" s="1"/>
  <c r="BQ145" i="3"/>
  <c r="BP145" i="3"/>
  <c r="BR144" i="3"/>
  <c r="AA296" i="33" s="1"/>
  <c r="AB296" i="33" s="1"/>
  <c r="AC296" i="33" s="1"/>
  <c r="BQ144" i="3"/>
  <c r="BP144" i="3"/>
  <c r="BR143" i="3"/>
  <c r="AA295" i="33" s="1"/>
  <c r="AB295" i="33" s="1"/>
  <c r="AC295" i="33" s="1"/>
  <c r="BQ143" i="3"/>
  <c r="BP143" i="3"/>
  <c r="BR142" i="3"/>
  <c r="AA193" i="33" s="1"/>
  <c r="AB193" i="33" s="1"/>
  <c r="AC193" i="33" s="1"/>
  <c r="BQ142" i="3"/>
  <c r="BP142" i="3"/>
  <c r="BH146" i="3"/>
  <c r="T287" i="33" s="1"/>
  <c r="U287" i="33" s="1"/>
  <c r="V287" i="33" s="1"/>
  <c r="BG146" i="3"/>
  <c r="BF146" i="3"/>
  <c r="BH145" i="3"/>
  <c r="T356" i="33" s="1"/>
  <c r="U356" i="33" s="1"/>
  <c r="BG145" i="3"/>
  <c r="BF145" i="3"/>
  <c r="BH144" i="3"/>
  <c r="T296" i="33" s="1"/>
  <c r="U296" i="33" s="1"/>
  <c r="BG144" i="3"/>
  <c r="BF144" i="3"/>
  <c r="BH143" i="3"/>
  <c r="T295" i="33" s="1"/>
  <c r="U295" i="33" s="1"/>
  <c r="V295" i="33" s="1"/>
  <c r="V17" i="38" s="1"/>
  <c r="BG143" i="3"/>
  <c r="BF143" i="3"/>
  <c r="BH142" i="3"/>
  <c r="T193" i="33" s="1"/>
  <c r="U193" i="33" s="1"/>
  <c r="V193" i="33" s="1"/>
  <c r="BG142" i="3"/>
  <c r="BF142" i="3"/>
  <c r="AX145" i="3"/>
  <c r="M356" i="33" s="1"/>
  <c r="N356" i="33" s="1"/>
  <c r="AV145" i="3"/>
  <c r="AX144" i="3"/>
  <c r="M296" i="33" s="1"/>
  <c r="N296" i="33" s="1"/>
  <c r="AV144" i="3"/>
  <c r="AX143" i="3"/>
  <c r="M295" i="33" s="1"/>
  <c r="N295" i="33" s="1"/>
  <c r="AV143" i="3"/>
  <c r="AX142" i="3"/>
  <c r="M193" i="33" s="1"/>
  <c r="N193" i="33" s="1"/>
  <c r="O193" i="33" s="1"/>
  <c r="AW142" i="3"/>
  <c r="AV142" i="3"/>
  <c r="AO145" i="3"/>
  <c r="BW145" i="3" s="1"/>
  <c r="AO144" i="3"/>
  <c r="BI144" i="3" s="1"/>
  <c r="AO143" i="3"/>
  <c r="AS143" i="3" s="1"/>
  <c r="CM143" i="3" s="1"/>
  <c r="AO142" i="3"/>
  <c r="BI142" i="3" s="1"/>
  <c r="AN145" i="3"/>
  <c r="BB145" i="3" s="1"/>
  <c r="AN144" i="3"/>
  <c r="BB144" i="3" s="1"/>
  <c r="AN143" i="3"/>
  <c r="AR143" i="3" s="1"/>
  <c r="AN142" i="3"/>
  <c r="BV142" i="3" s="1"/>
  <c r="AA17" i="38" l="1"/>
  <c r="Z17" i="38"/>
  <c r="Y17" i="38"/>
  <c r="X17" i="38"/>
  <c r="W17" i="38"/>
  <c r="U17" i="38"/>
  <c r="T17" i="38"/>
  <c r="S17" i="38"/>
  <c r="R17" i="38"/>
  <c r="Q17" i="38"/>
  <c r="V16" i="38"/>
  <c r="P16" i="38"/>
  <c r="R353" i="33"/>
  <c r="AF353" i="33"/>
  <c r="AG353" i="33" s="1"/>
  <c r="AP14" i="38" s="1"/>
  <c r="M353" i="33"/>
  <c r="N353" i="33" s="1"/>
  <c r="T353" i="33"/>
  <c r="U353" i="33" s="1"/>
  <c r="AH353" i="33"/>
  <c r="AI353" i="33" s="1"/>
  <c r="Y353" i="33"/>
  <c r="AA353" i="33"/>
  <c r="AB353" i="33" s="1"/>
  <c r="K353" i="33"/>
  <c r="I16" i="38"/>
  <c r="C9" i="38"/>
  <c r="D9" i="38" s="1"/>
  <c r="I9" i="38"/>
  <c r="AI17" i="38"/>
  <c r="AI16" i="38"/>
  <c r="AS17" i="38"/>
  <c r="AU17" i="38"/>
  <c r="AR17" i="38"/>
  <c r="AT17" i="38"/>
  <c r="AQ17" i="38"/>
  <c r="AV17" i="38"/>
  <c r="AC16" i="38"/>
  <c r="AC9" i="38"/>
  <c r="CC148" i="3"/>
  <c r="CC147" i="3"/>
  <c r="AY143" i="3"/>
  <c r="BS147" i="3"/>
  <c r="CC145" i="3"/>
  <c r="AS149" i="3"/>
  <c r="AS147" i="3"/>
  <c r="BL146" i="3"/>
  <c r="AY145" i="3"/>
  <c r="AR144" i="3"/>
  <c r="CC143" i="3"/>
  <c r="BB143" i="3"/>
  <c r="AR147" i="3"/>
  <c r="AY149" i="3"/>
  <c r="CC149" i="3"/>
  <c r="BI146" i="3"/>
  <c r="AS151" i="3"/>
  <c r="AW151" i="3" s="1"/>
  <c r="AY148" i="3"/>
  <c r="BL143" i="3"/>
  <c r="BW146" i="3"/>
  <c r="CL146" i="3" s="1"/>
  <c r="BS145" i="3"/>
  <c r="BV143" i="3"/>
  <c r="BB147" i="3"/>
  <c r="BS149" i="3"/>
  <c r="BW149" i="3"/>
  <c r="CA149" i="3" s="1"/>
  <c r="BS143" i="3"/>
  <c r="AY146" i="3"/>
  <c r="BS148" i="3"/>
  <c r="CA145" i="3"/>
  <c r="CL145" i="3"/>
  <c r="CL148" i="3"/>
  <c r="CA148" i="3"/>
  <c r="AW143" i="3"/>
  <c r="CF143" i="3"/>
  <c r="AR145" i="3"/>
  <c r="BI143" i="3"/>
  <c r="BI145" i="3"/>
  <c r="BL144" i="3"/>
  <c r="BV144" i="3"/>
  <c r="AS148" i="3"/>
  <c r="CM148" i="3" s="1"/>
  <c r="BB149" i="3"/>
  <c r="BI148" i="3"/>
  <c r="BL147" i="3"/>
  <c r="BB142" i="3"/>
  <c r="BL145" i="3"/>
  <c r="BS142" i="3"/>
  <c r="BS144" i="3"/>
  <c r="BV145" i="3"/>
  <c r="AR146" i="3"/>
  <c r="BL148" i="3"/>
  <c r="BW147" i="3"/>
  <c r="BL150" i="3"/>
  <c r="BW144" i="3"/>
  <c r="BV148" i="3"/>
  <c r="BL151" i="3"/>
  <c r="AS145" i="3"/>
  <c r="CM145" i="3" s="1"/>
  <c r="AY142" i="3"/>
  <c r="AY144" i="3"/>
  <c r="CC142" i="3"/>
  <c r="CC144" i="3"/>
  <c r="CC146" i="3"/>
  <c r="AR148" i="3"/>
  <c r="AY147" i="3"/>
  <c r="BL149" i="3"/>
  <c r="BV150" i="3"/>
  <c r="AS144" i="3"/>
  <c r="BB146" i="3"/>
  <c r="BW150" i="3"/>
  <c r="AR149" i="3"/>
  <c r="BV151" i="3"/>
  <c r="AR142" i="3"/>
  <c r="BL142" i="3"/>
  <c r="AS146" i="3"/>
  <c r="BW151" i="3"/>
  <c r="CA151" i="3" s="1"/>
  <c r="CC151" i="3"/>
  <c r="BS150" i="3"/>
  <c r="AY151" i="3"/>
  <c r="BI150" i="3"/>
  <c r="AS150" i="3"/>
  <c r="AY150" i="3"/>
  <c r="BI151" i="3"/>
  <c r="AR151" i="3"/>
  <c r="AR150" i="3"/>
  <c r="BH118" i="3"/>
  <c r="T272" i="33" s="1"/>
  <c r="U272" i="33" s="1"/>
  <c r="BG118" i="3"/>
  <c r="BF118" i="3"/>
  <c r="AX118" i="3"/>
  <c r="M272" i="33" s="1"/>
  <c r="N272" i="33" s="1"/>
  <c r="AW118" i="3"/>
  <c r="AV118" i="3"/>
  <c r="CL118" i="3"/>
  <c r="CK118" i="3"/>
  <c r="AF272" i="33" s="1"/>
  <c r="CJ118" i="3"/>
  <c r="CI118" i="3"/>
  <c r="Y272" i="33" s="1"/>
  <c r="Z272" i="33" s="1"/>
  <c r="AC12" i="38" s="1"/>
  <c r="CH118" i="3"/>
  <c r="CG118" i="3"/>
  <c r="R272" i="33" s="1"/>
  <c r="CF118" i="3"/>
  <c r="CE118" i="3"/>
  <c r="K272" i="33" s="1"/>
  <c r="CB118" i="3"/>
  <c r="AH272" i="33" s="1"/>
  <c r="AI272" i="33" s="1"/>
  <c r="AV12" i="38" s="1"/>
  <c r="CA118" i="3"/>
  <c r="BZ118" i="3"/>
  <c r="CB94" i="3"/>
  <c r="AH327" i="33" s="1"/>
  <c r="AI327" i="33" s="1"/>
  <c r="AV11" i="38" s="1"/>
  <c r="BZ94" i="3"/>
  <c r="BR118" i="3"/>
  <c r="AA272" i="33" s="1"/>
  <c r="AB272" i="33" s="1"/>
  <c r="AC272" i="33" s="1"/>
  <c r="AI12" i="38" s="1"/>
  <c r="BQ118" i="3"/>
  <c r="BP118" i="3"/>
  <c r="BR94" i="3"/>
  <c r="AA327" i="33" s="1"/>
  <c r="AB327" i="33" s="1"/>
  <c r="AC327" i="33" s="1"/>
  <c r="AI11" i="38" s="1"/>
  <c r="BP94" i="3"/>
  <c r="BH94" i="3"/>
  <c r="T327" i="33" s="1"/>
  <c r="U327" i="33" s="1"/>
  <c r="V327" i="33" s="1"/>
  <c r="V11" i="38" s="1"/>
  <c r="BF94" i="3"/>
  <c r="AX94" i="3"/>
  <c r="M327" i="33" s="1"/>
  <c r="N327" i="33" s="1"/>
  <c r="O327" i="33" s="1"/>
  <c r="I11" i="38" s="1"/>
  <c r="AW94" i="3"/>
  <c r="J97" i="33" s="1"/>
  <c r="AV94" i="3"/>
  <c r="BQ94" i="3"/>
  <c r="X97" i="33" s="1"/>
  <c r="BG94" i="3"/>
  <c r="Q97" i="33" s="1"/>
  <c r="AO118" i="3"/>
  <c r="CC118" i="3" s="1"/>
  <c r="AN118" i="3"/>
  <c r="AR118" i="3" s="1"/>
  <c r="AN94" i="3"/>
  <c r="AP9" i="38" l="1"/>
  <c r="AS9" i="38" s="1"/>
  <c r="Y11" i="38"/>
  <c r="AA11" i="38"/>
  <c r="X11" i="38"/>
  <c r="W11" i="38"/>
  <c r="Z11" i="38"/>
  <c r="R16" i="38"/>
  <c r="U16" i="38"/>
  <c r="Q16" i="38"/>
  <c r="T16" i="38"/>
  <c r="S16" i="38"/>
  <c r="X16" i="38"/>
  <c r="W16" i="38"/>
  <c r="Y16" i="38"/>
  <c r="AA16" i="38"/>
  <c r="Z16" i="38"/>
  <c r="N11" i="38"/>
  <c r="M11" i="38"/>
  <c r="L11" i="38"/>
  <c r="K11" i="38"/>
  <c r="J11" i="38"/>
  <c r="N16" i="38"/>
  <c r="M16" i="38"/>
  <c r="L16" i="38"/>
  <c r="K16" i="38"/>
  <c r="J16" i="38"/>
  <c r="AH12" i="38"/>
  <c r="AF12" i="38"/>
  <c r="AE12" i="38"/>
  <c r="AG12" i="38"/>
  <c r="AD12" i="38"/>
  <c r="AJ17" i="38"/>
  <c r="AM17" i="38"/>
  <c r="AN17" i="38"/>
  <c r="AK17" i="38"/>
  <c r="AL17"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AJ11" i="38"/>
  <c r="AL11" i="38"/>
  <c r="AM11" i="38"/>
  <c r="AK11" i="38"/>
  <c r="AN11" i="38"/>
  <c r="AJ12" i="38"/>
  <c r="AM12" i="38"/>
  <c r="AN12" i="38"/>
  <c r="AL12" i="38"/>
  <c r="AK12" i="38"/>
  <c r="AH9" i="38"/>
  <c r="AF9" i="38"/>
  <c r="AG9" i="38"/>
  <c r="AD9" i="38"/>
  <c r="AE9" i="38"/>
  <c r="AU9" i="38"/>
  <c r="CM144" i="3"/>
  <c r="CM146" i="3"/>
  <c r="CM150" i="3"/>
  <c r="AW147" i="3"/>
  <c r="CM147" i="3"/>
  <c r="CF149" i="3"/>
  <c r="CM149" i="3"/>
  <c r="CM151" i="3"/>
  <c r="AW149" i="3"/>
  <c r="AR94" i="3"/>
  <c r="BV94" i="3"/>
  <c r="BB94" i="3"/>
  <c r="BL94" i="3"/>
  <c r="CF147" i="3"/>
  <c r="CA146" i="3"/>
  <c r="CF151" i="3"/>
  <c r="CL149" i="3"/>
  <c r="CL150" i="3"/>
  <c r="CA150" i="3"/>
  <c r="AW145" i="3"/>
  <c r="CF145" i="3"/>
  <c r="AW146" i="3"/>
  <c r="CF146" i="3"/>
  <c r="CA147" i="3"/>
  <c r="CL147" i="3"/>
  <c r="CF144" i="3"/>
  <c r="AW144" i="3"/>
  <c r="CL144" i="3"/>
  <c r="CA144" i="3"/>
  <c r="CL151" i="3"/>
  <c r="AW148" i="3"/>
  <c r="CF148" i="3"/>
  <c r="CF150" i="3"/>
  <c r="AW150" i="3"/>
  <c r="AY94" i="3"/>
  <c r="M97" i="33" s="1"/>
  <c r="N97" i="33" s="1"/>
  <c r="BV118" i="3"/>
  <c r="BL118" i="3"/>
  <c r="BB118" i="3"/>
  <c r="CA94" i="3"/>
  <c r="AE97" i="33" s="1"/>
  <c r="BS94" i="3"/>
  <c r="AA97" i="33" s="1"/>
  <c r="AB97" i="33" s="1"/>
  <c r="AC97" i="33" s="1"/>
  <c r="CC94" i="3"/>
  <c r="AH97" i="33" s="1"/>
  <c r="AI97" i="33" s="1"/>
  <c r="BI94" i="3"/>
  <c r="T97" i="33" s="1"/>
  <c r="U97" i="33" s="1"/>
  <c r="V97" i="33" s="1"/>
  <c r="BI118" i="3"/>
  <c r="BS118" i="3"/>
  <c r="AY118" i="3"/>
  <c r="AN50" i="3"/>
  <c r="BL50" i="3" s="1"/>
  <c r="AX50" i="3"/>
  <c r="M251" i="33" s="1"/>
  <c r="BF50" i="3"/>
  <c r="BH50" i="3"/>
  <c r="T251" i="33" s="1"/>
  <c r="U251" i="33" s="1"/>
  <c r="V251" i="33" s="1"/>
  <c r="BP50" i="3"/>
  <c r="BR50" i="3"/>
  <c r="AA251" i="33" s="1"/>
  <c r="AB251" i="33" s="1"/>
  <c r="AC251" i="33" s="1"/>
  <c r="BZ50" i="3"/>
  <c r="CB50" i="3"/>
  <c r="AH251" i="33" s="1"/>
  <c r="AI251" i="33" s="1"/>
  <c r="CE50" i="3"/>
  <c r="K251" i="33" s="1"/>
  <c r="L251" i="33" s="1"/>
  <c r="C8" i="38" s="1"/>
  <c r="CG50" i="3"/>
  <c r="R251" i="33" s="1"/>
  <c r="S251" i="33" s="1"/>
  <c r="CI50" i="3"/>
  <c r="Y251" i="33" s="1"/>
  <c r="Z251" i="33" s="1"/>
  <c r="AN51" i="3"/>
  <c r="BB51" i="3" s="1"/>
  <c r="AO51" i="3"/>
  <c r="CC51" i="3" s="1"/>
  <c r="AV51" i="3"/>
  <c r="AW51" i="3"/>
  <c r="AX51" i="3"/>
  <c r="M252" i="33" s="1"/>
  <c r="N252" i="33" s="1"/>
  <c r="BF51" i="3"/>
  <c r="BG51" i="3"/>
  <c r="BH51" i="3"/>
  <c r="T252" i="33" s="1"/>
  <c r="U252" i="33" s="1"/>
  <c r="BP51" i="3"/>
  <c r="BQ51" i="3"/>
  <c r="BR51" i="3"/>
  <c r="AA252" i="33" s="1"/>
  <c r="AB252" i="33" s="1"/>
  <c r="AC252" i="33" s="1"/>
  <c r="BZ51" i="3"/>
  <c r="CA51" i="3"/>
  <c r="CB51" i="3"/>
  <c r="AH252" i="33" s="1"/>
  <c r="AI252" i="33" s="1"/>
  <c r="CE51" i="3"/>
  <c r="K252" i="33" s="1"/>
  <c r="CF51" i="3"/>
  <c r="CG51" i="3"/>
  <c r="R252" i="33" s="1"/>
  <c r="CH51" i="3"/>
  <c r="CI51" i="3"/>
  <c r="Y252" i="33" s="1"/>
  <c r="Z252" i="33" s="1"/>
  <c r="CJ51" i="3"/>
  <c r="AN52" i="3"/>
  <c r="BV52" i="3" s="1"/>
  <c r="AO52" i="3"/>
  <c r="CC52" i="3" s="1"/>
  <c r="AV52" i="3"/>
  <c r="AW52" i="3"/>
  <c r="AX52" i="3"/>
  <c r="M253" i="33" s="1"/>
  <c r="N253" i="33" s="1"/>
  <c r="BF52" i="3"/>
  <c r="BG52" i="3"/>
  <c r="BH52" i="3"/>
  <c r="T253" i="33" s="1"/>
  <c r="U253" i="33" s="1"/>
  <c r="BP52" i="3"/>
  <c r="BQ52" i="3"/>
  <c r="BR52" i="3"/>
  <c r="AA253" i="33" s="1"/>
  <c r="AB253" i="33" s="1"/>
  <c r="AC253" i="33" s="1"/>
  <c r="BZ52" i="3"/>
  <c r="CA52" i="3"/>
  <c r="CB52" i="3"/>
  <c r="AH253" i="33" s="1"/>
  <c r="AI253" i="33" s="1"/>
  <c r="CE52" i="3"/>
  <c r="K253" i="33" s="1"/>
  <c r="CF52" i="3"/>
  <c r="CG52" i="3"/>
  <c r="R253" i="33" s="1"/>
  <c r="CH52" i="3"/>
  <c r="CI52" i="3"/>
  <c r="Y253" i="33" s="1"/>
  <c r="Z253" i="33" s="1"/>
  <c r="CJ52" i="3"/>
  <c r="AN53" i="3"/>
  <c r="BL53" i="3" s="1"/>
  <c r="AO53" i="3"/>
  <c r="CC53" i="3" s="1"/>
  <c r="AV53" i="3"/>
  <c r="AW53" i="3"/>
  <c r="AX53" i="3"/>
  <c r="M254" i="33" s="1"/>
  <c r="N254" i="33" s="1"/>
  <c r="BF53" i="3"/>
  <c r="BG53" i="3"/>
  <c r="BH53" i="3"/>
  <c r="T254" i="33" s="1"/>
  <c r="U254" i="33" s="1"/>
  <c r="V254" i="33" s="1"/>
  <c r="BP53" i="3"/>
  <c r="BQ53" i="3"/>
  <c r="BR53" i="3"/>
  <c r="AA254" i="33" s="1"/>
  <c r="AB254" i="33" s="1"/>
  <c r="BZ53" i="3"/>
  <c r="CA53" i="3"/>
  <c r="CB53" i="3"/>
  <c r="AH254" i="33" s="1"/>
  <c r="AI254" i="33" s="1"/>
  <c r="CE53" i="3"/>
  <c r="K254" i="33" s="1"/>
  <c r="CF53" i="3"/>
  <c r="CG53" i="3"/>
  <c r="R254" i="33" s="1"/>
  <c r="S254" i="33" s="1"/>
  <c r="CH53" i="3"/>
  <c r="CI53" i="3"/>
  <c r="Y254" i="33" s="1"/>
  <c r="CJ53" i="3"/>
  <c r="AO54" i="3"/>
  <c r="AN54" i="3"/>
  <c r="BB54" i="3" s="1"/>
  <c r="AV54" i="3"/>
  <c r="AW54" i="3"/>
  <c r="AX54" i="3"/>
  <c r="M255" i="33" s="1"/>
  <c r="N255" i="33" s="1"/>
  <c r="BF54" i="3"/>
  <c r="BG54" i="3"/>
  <c r="BH54" i="3"/>
  <c r="T255" i="33" s="1"/>
  <c r="U255" i="33" s="1"/>
  <c r="BP54" i="3"/>
  <c r="BQ54" i="3"/>
  <c r="BR54" i="3"/>
  <c r="AA255" i="33" s="1"/>
  <c r="AB255" i="33" s="1"/>
  <c r="AC255" i="33" s="1"/>
  <c r="BZ54" i="3"/>
  <c r="CA54" i="3"/>
  <c r="CB54" i="3"/>
  <c r="AH255" i="33" s="1"/>
  <c r="AI255" i="33" s="1"/>
  <c r="CE54" i="3"/>
  <c r="K255" i="33" s="1"/>
  <c r="CF54" i="3"/>
  <c r="CG54" i="3"/>
  <c r="R255" i="33" s="1"/>
  <c r="CH54" i="3"/>
  <c r="CI54" i="3"/>
  <c r="Y255" i="33" s="1"/>
  <c r="Z255" i="33" s="1"/>
  <c r="CJ54" i="3"/>
  <c r="AO55" i="3"/>
  <c r="BS55" i="3" s="1"/>
  <c r="AN55" i="3"/>
  <c r="AR55" i="3" s="1"/>
  <c r="AV55" i="3"/>
  <c r="AW55" i="3"/>
  <c r="AX55" i="3"/>
  <c r="M256" i="33" s="1"/>
  <c r="BF55" i="3"/>
  <c r="BG55" i="3"/>
  <c r="BH55" i="3"/>
  <c r="T256" i="33" s="1"/>
  <c r="U256" i="33" s="1"/>
  <c r="V256" i="33" s="1"/>
  <c r="BP55" i="3"/>
  <c r="BQ55" i="3"/>
  <c r="BR55" i="3"/>
  <c r="AA256" i="33" s="1"/>
  <c r="AB256" i="33" s="1"/>
  <c r="AC256" i="33" s="1"/>
  <c r="BZ55" i="3"/>
  <c r="CA55" i="3"/>
  <c r="CB55" i="3"/>
  <c r="AH256" i="33" s="1"/>
  <c r="AI256" i="33" s="1"/>
  <c r="CE55" i="3"/>
  <c r="K256" i="33" s="1"/>
  <c r="L256" i="33" s="1"/>
  <c r="CF55" i="3"/>
  <c r="CG55" i="3"/>
  <c r="R256" i="33" s="1"/>
  <c r="CH55" i="3"/>
  <c r="CI55" i="3"/>
  <c r="Y256" i="33" s="1"/>
  <c r="CJ55" i="3"/>
  <c r="AN56" i="3"/>
  <c r="BB56" i="3" s="1"/>
  <c r="AO56" i="3"/>
  <c r="AV56" i="3"/>
  <c r="AX56" i="3"/>
  <c r="M305" i="33" s="1"/>
  <c r="BF56" i="3"/>
  <c r="BG56" i="3"/>
  <c r="Q67" i="33" s="1"/>
  <c r="BH56" i="3"/>
  <c r="T305" i="33" s="1"/>
  <c r="BP56" i="3"/>
  <c r="BQ56" i="3"/>
  <c r="X67" i="33" s="1"/>
  <c r="BR56" i="3"/>
  <c r="AA305" i="33" s="1"/>
  <c r="BZ56" i="3"/>
  <c r="CB56" i="3"/>
  <c r="AH305" i="33" s="1"/>
  <c r="CE56" i="3"/>
  <c r="K305" i="33" s="1"/>
  <c r="CG56" i="3"/>
  <c r="R305" i="33" s="1"/>
  <c r="CH56" i="3"/>
  <c r="R67" i="33" s="1"/>
  <c r="S67" i="33" s="1"/>
  <c r="CI56" i="3"/>
  <c r="Y305" i="33" s="1"/>
  <c r="CJ56" i="3"/>
  <c r="Y67" i="33" s="1"/>
  <c r="Z67" i="33" s="1"/>
  <c r="AN76" i="3"/>
  <c r="BL76" i="3" s="1"/>
  <c r="AO76" i="3"/>
  <c r="AV76" i="3"/>
  <c r="AW76" i="3"/>
  <c r="J87" i="33" s="1"/>
  <c r="AX76" i="3"/>
  <c r="M309" i="33" s="1"/>
  <c r="N309" i="33" s="1"/>
  <c r="BF76" i="3"/>
  <c r="BH76" i="3"/>
  <c r="T309" i="33" s="1"/>
  <c r="U309" i="33" s="1"/>
  <c r="V309" i="33" s="1"/>
  <c r="BP76" i="3"/>
  <c r="BQ76" i="3"/>
  <c r="BR76" i="3"/>
  <c r="AA309" i="33" s="1"/>
  <c r="AB309" i="33" s="1"/>
  <c r="AC309" i="33" s="1"/>
  <c r="BZ76" i="3"/>
  <c r="CA76" i="3"/>
  <c r="CB76" i="3"/>
  <c r="AH309" i="33" s="1"/>
  <c r="AI309" i="33" s="1"/>
  <c r="CE76" i="3"/>
  <c r="K309" i="33" s="1"/>
  <c r="CF76" i="3"/>
  <c r="K87" i="33" s="1"/>
  <c r="CG76" i="3"/>
  <c r="R309" i="33" s="1"/>
  <c r="S309" i="33" s="1"/>
  <c r="CI76" i="3"/>
  <c r="Y309" i="33" s="1"/>
  <c r="CJ76" i="3"/>
  <c r="Y87" i="33" s="1"/>
  <c r="AT9" i="38" l="1"/>
  <c r="AR9" i="38"/>
  <c r="AQ9" i="38"/>
  <c r="P8" i="38"/>
  <c r="P9" i="38"/>
  <c r="P14" i="38"/>
  <c r="V9" i="38"/>
  <c r="AV8" i="38"/>
  <c r="AX8" i="38" s="1"/>
  <c r="AI8" i="38"/>
  <c r="AV9" i="38"/>
  <c r="V8" i="38"/>
  <c r="AC8" i="38"/>
  <c r="AI9" i="38"/>
  <c r="H8" i="38"/>
  <c r="D8" i="38"/>
  <c r="E8" i="38"/>
  <c r="G8" i="38"/>
  <c r="F8" i="38"/>
  <c r="N251" i="33"/>
  <c r="O251" i="33" s="1"/>
  <c r="I8" i="38" s="1"/>
  <c r="J8" i="38" s="1"/>
  <c r="N256" i="33"/>
  <c r="O256" i="33" s="1"/>
  <c r="N305" i="33"/>
  <c r="L305" i="33"/>
  <c r="C14" i="38" s="1"/>
  <c r="AI305" i="33"/>
  <c r="AV10" i="38" s="1"/>
  <c r="AB305" i="33"/>
  <c r="U305" i="33"/>
  <c r="BI76" i="3"/>
  <c r="V87" i="33" s="1"/>
  <c r="BC76" i="3"/>
  <c r="CM76" i="3" s="1"/>
  <c r="CC56" i="3"/>
  <c r="AH67" i="33" s="1"/>
  <c r="AI67" i="33" s="1"/>
  <c r="AS56" i="3"/>
  <c r="CM56" i="3" s="1"/>
  <c r="BI51" i="3"/>
  <c r="BL51" i="3"/>
  <c r="AR51" i="3"/>
  <c r="BI56" i="3"/>
  <c r="T67" i="33" s="1"/>
  <c r="U67" i="33" s="1"/>
  <c r="V67" i="33" s="1"/>
  <c r="AR76" i="3"/>
  <c r="BI52" i="3"/>
  <c r="BL56" i="3"/>
  <c r="BS51" i="3"/>
  <c r="AY51" i="3"/>
  <c r="BV50" i="3"/>
  <c r="BB50" i="3"/>
  <c r="BI54" i="3"/>
  <c r="CC54" i="3"/>
  <c r="BS54" i="3"/>
  <c r="AY54" i="3"/>
  <c r="BV55" i="3"/>
  <c r="BV53" i="3"/>
  <c r="BB53" i="3"/>
  <c r="BS52" i="3"/>
  <c r="AY52" i="3"/>
  <c r="BL54" i="3"/>
  <c r="AR54" i="3"/>
  <c r="BI53" i="3"/>
  <c r="AR53" i="3"/>
  <c r="AR56" i="3"/>
  <c r="BV56" i="3"/>
  <c r="BV76" i="3"/>
  <c r="BB76" i="3"/>
  <c r="BS56" i="3"/>
  <c r="AA67" i="33" s="1"/>
  <c r="AB67" i="33" s="1"/>
  <c r="AC67" i="33" s="1"/>
  <c r="AY55" i="3"/>
  <c r="BS53" i="3"/>
  <c r="BV51" i="3"/>
  <c r="AR50" i="3"/>
  <c r="CC55" i="3"/>
  <c r="BL52" i="3"/>
  <c r="BS76" i="3"/>
  <c r="AC87" i="33" s="1"/>
  <c r="CC76" i="3"/>
  <c r="AY56" i="3"/>
  <c r="M67" i="33" s="1"/>
  <c r="BL55" i="3"/>
  <c r="BV54" i="3"/>
  <c r="AY53" i="3"/>
  <c r="BB55" i="3"/>
  <c r="BI55" i="3"/>
  <c r="AR52" i="3"/>
  <c r="BB52" i="3"/>
  <c r="AY76" i="3"/>
  <c r="BX12" i="29"/>
  <c r="AF214" i="33" s="1"/>
  <c r="AG214" i="33" s="1"/>
  <c r="BV12" i="29"/>
  <c r="Y214" i="33" s="1"/>
  <c r="BT12" i="29"/>
  <c r="R214" i="33" s="1"/>
  <c r="BR12" i="29"/>
  <c r="K214" i="33" s="1"/>
  <c r="BX11" i="29"/>
  <c r="AF213" i="33" s="1"/>
  <c r="AG213" i="33" s="1"/>
  <c r="BV11" i="29"/>
  <c r="Y213" i="33" s="1"/>
  <c r="BT11" i="29"/>
  <c r="R213" i="33" s="1"/>
  <c r="K213" i="33"/>
  <c r="BX10" i="29"/>
  <c r="BV10" i="29"/>
  <c r="BT10" i="29"/>
  <c r="BR10" i="29"/>
  <c r="K154" i="33" s="1"/>
  <c r="L154" i="33" s="1"/>
  <c r="BO12" i="29"/>
  <c r="AH214" i="33" s="1"/>
  <c r="AI214" i="33" s="1"/>
  <c r="BM12" i="29"/>
  <c r="BO11" i="29"/>
  <c r="AH213" i="33" s="1"/>
  <c r="AI213" i="33" s="1"/>
  <c r="BM11" i="29"/>
  <c r="BM10" i="29"/>
  <c r="BE12" i="29"/>
  <c r="AA214" i="33" s="1"/>
  <c r="AB214" i="33" s="1"/>
  <c r="BC12" i="29"/>
  <c r="BE11" i="29"/>
  <c r="AA213" i="33" s="1"/>
  <c r="AB213" i="33" s="1"/>
  <c r="BC11" i="29"/>
  <c r="BC10" i="29"/>
  <c r="AU12" i="29"/>
  <c r="T214" i="33" s="1"/>
  <c r="U214" i="33" s="1"/>
  <c r="AS12" i="29"/>
  <c r="AU11" i="29"/>
  <c r="T213" i="33" s="1"/>
  <c r="U213" i="33" s="1"/>
  <c r="AS11" i="29"/>
  <c r="AS10" i="29"/>
  <c r="AK12" i="29"/>
  <c r="M214" i="33" s="1"/>
  <c r="N214" i="33" s="1"/>
  <c r="AI12" i="29"/>
  <c r="AK11" i="29"/>
  <c r="M213" i="33" s="1"/>
  <c r="N213" i="33" s="1"/>
  <c r="AI10" i="29"/>
  <c r="AA11" i="29"/>
  <c r="AY11" i="29" s="1"/>
  <c r="BY38" i="27"/>
  <c r="BW38" i="27"/>
  <c r="BU38" i="27"/>
  <c r="BN38" i="27"/>
  <c r="BD38" i="27"/>
  <c r="AT38" i="27"/>
  <c r="AJ38" i="27"/>
  <c r="BS38" i="27"/>
  <c r="BM38" i="27"/>
  <c r="BX38" i="27"/>
  <c r="BC38" i="27"/>
  <c r="BV38" i="27"/>
  <c r="AS38" i="27"/>
  <c r="BT38" i="27"/>
  <c r="AI38" i="27"/>
  <c r="BR38" i="27"/>
  <c r="AA38" i="27"/>
  <c r="AE38" i="27" s="1"/>
  <c r="AK38" i="27"/>
  <c r="AU38" i="27"/>
  <c r="BE38" i="27"/>
  <c r="BO38" i="27"/>
  <c r="AB38" i="27"/>
  <c r="BN37" i="27"/>
  <c r="BY37" i="27"/>
  <c r="BM37" i="27"/>
  <c r="BX37" i="27"/>
  <c r="BD37" i="27"/>
  <c r="BW37" i="27"/>
  <c r="BC37" i="27"/>
  <c r="BV37" i="27"/>
  <c r="AT37" i="27"/>
  <c r="BU37" i="27"/>
  <c r="AS37" i="27"/>
  <c r="BT37" i="27"/>
  <c r="AJ37" i="27"/>
  <c r="BS37" i="27"/>
  <c r="AI37" i="27"/>
  <c r="BR37" i="27"/>
  <c r="AK37" i="27"/>
  <c r="AU37" i="27"/>
  <c r="BE37" i="27"/>
  <c r="BO37" i="27"/>
  <c r="AB37" i="27"/>
  <c r="AA37" i="27"/>
  <c r="AO37" i="27" s="1"/>
  <c r="T14" i="38" l="1"/>
  <c r="S14" i="38"/>
  <c r="R14" i="38"/>
  <c r="Q14" i="38"/>
  <c r="U14" i="38"/>
  <c r="K212" i="33"/>
  <c r="M211" i="33"/>
  <c r="N211" i="33" s="1"/>
  <c r="Y211" i="33"/>
  <c r="AH212" i="33"/>
  <c r="AI212" i="33" s="1"/>
  <c r="R211" i="33"/>
  <c r="AA212" i="33"/>
  <c r="AB212" i="33" s="1"/>
  <c r="Y212" i="33"/>
  <c r="AH211" i="33"/>
  <c r="AI211" i="33" s="1"/>
  <c r="T211" i="33"/>
  <c r="U211" i="33" s="1"/>
  <c r="K211" i="33"/>
  <c r="R212" i="33"/>
  <c r="T212" i="33"/>
  <c r="U212" i="33" s="1"/>
  <c r="AF211" i="33"/>
  <c r="AG211" i="33" s="1"/>
  <c r="M212" i="33"/>
  <c r="N212" i="33" s="1"/>
  <c r="AF212" i="33"/>
  <c r="AG212" i="33" s="1"/>
  <c r="AA211" i="33"/>
  <c r="AB211" i="33" s="1"/>
  <c r="AW8" i="38"/>
  <c r="BA8" i="38"/>
  <c r="AV14" i="38"/>
  <c r="AY8" i="38"/>
  <c r="AZ8" i="38"/>
  <c r="AJ9" i="38"/>
  <c r="AN9" i="38"/>
  <c r="AM9" i="38"/>
  <c r="AL9" i="38"/>
  <c r="AK9" i="38"/>
  <c r="AA8" i="38"/>
  <c r="Y8" i="38"/>
  <c r="W8" i="38"/>
  <c r="X8" i="38"/>
  <c r="Z8" i="38"/>
  <c r="S8" i="38"/>
  <c r="U8" i="38"/>
  <c r="T8" i="38"/>
  <c r="R8" i="38"/>
  <c r="Q8" i="38"/>
  <c r="AJ8" i="38"/>
  <c r="AN8" i="38"/>
  <c r="AL8" i="38"/>
  <c r="AK8" i="38"/>
  <c r="AM8" i="38"/>
  <c r="N8" i="38"/>
  <c r="L8" i="38"/>
  <c r="M8" i="38"/>
  <c r="K8" i="38"/>
  <c r="BA9" i="38"/>
  <c r="AZ9" i="38"/>
  <c r="AW9" i="38"/>
  <c r="AX9" i="38"/>
  <c r="AY9" i="38"/>
  <c r="C10" i="38"/>
  <c r="S9" i="38"/>
  <c r="U9" i="38"/>
  <c r="Q9" i="38"/>
  <c r="R9" i="38"/>
  <c r="T9" i="38"/>
  <c r="AH8" i="38"/>
  <c r="AG8" i="38"/>
  <c r="AD8" i="38"/>
  <c r="AE8" i="38"/>
  <c r="AF8" i="38"/>
  <c r="AA9" i="38"/>
  <c r="W9" i="38"/>
  <c r="Y9" i="38"/>
  <c r="Z9" i="38"/>
  <c r="X9" i="38"/>
  <c r="N67" i="33"/>
  <c r="O67" i="33" s="1"/>
  <c r="AC305" i="33"/>
  <c r="O305" i="33"/>
  <c r="V305" i="33"/>
  <c r="AL37" i="27"/>
  <c r="BZ37" i="27"/>
  <c r="BF38" i="27"/>
  <c r="BZ38" i="27"/>
  <c r="BG76" i="3"/>
  <c r="CH76" i="3"/>
  <c r="R87" i="33" s="1"/>
  <c r="AW56" i="3"/>
  <c r="J67" i="33" s="1"/>
  <c r="CF56" i="3"/>
  <c r="K67" i="33" s="1"/>
  <c r="L67" i="33" s="1"/>
  <c r="BF37" i="27"/>
  <c r="BP37" i="27"/>
  <c r="AO38" i="27"/>
  <c r="AY38" i="27"/>
  <c r="BI38" i="27"/>
  <c r="AV38" i="27"/>
  <c r="AO11" i="29"/>
  <c r="AE11" i="29"/>
  <c r="BI11" i="29"/>
  <c r="AL38" i="27"/>
  <c r="BP38" i="27"/>
  <c r="AV37" i="27"/>
  <c r="BI37" i="27"/>
  <c r="AY37" i="27"/>
  <c r="AE37" i="27"/>
  <c r="V10" i="38" l="1"/>
  <c r="V14" i="38"/>
  <c r="G14" i="38"/>
  <c r="F14" i="38"/>
  <c r="H14" i="38"/>
  <c r="E14" i="38"/>
  <c r="D14" i="38"/>
  <c r="F10" i="38"/>
  <c r="E10" i="38"/>
  <c r="D10" i="38"/>
  <c r="H10" i="38"/>
  <c r="G10" i="38"/>
  <c r="I10" i="38"/>
  <c r="I14" i="38"/>
  <c r="AI10" i="38"/>
  <c r="AI14" i="38"/>
  <c r="AA12" i="29"/>
  <c r="AY12" i="29" s="1"/>
  <c r="AP10" i="29"/>
  <c r="AA10" i="29"/>
  <c r="AY10" i="29" s="1"/>
  <c r="M10" i="29"/>
  <c r="Z10" i="29"/>
  <c r="Z14" i="38" l="1"/>
  <c r="Y14" i="38"/>
  <c r="AA14" i="38"/>
  <c r="X14" i="38"/>
  <c r="W14" i="38"/>
  <c r="Y10" i="38"/>
  <c r="AA10" i="38"/>
  <c r="Z10" i="38"/>
  <c r="W10" i="38"/>
  <c r="X10" i="38"/>
  <c r="N14" i="38"/>
  <c r="J14" i="38"/>
  <c r="M14" i="38"/>
  <c r="K14" i="38"/>
  <c r="L14" i="38"/>
  <c r="L10" i="38"/>
  <c r="K10" i="38"/>
  <c r="J10" i="38"/>
  <c r="N10" i="38"/>
  <c r="M10" i="38"/>
  <c r="BO10" i="29"/>
  <c r="AH154" i="33" s="1"/>
  <c r="AI154" i="33" s="1"/>
  <c r="BE10" i="29"/>
  <c r="AA154" i="33" s="1"/>
  <c r="AB154" i="33" s="1"/>
  <c r="AC154" i="33" s="1"/>
  <c r="AU10" i="29"/>
  <c r="T154" i="33" s="1"/>
  <c r="U154" i="33" s="1"/>
  <c r="V154" i="33" s="1"/>
  <c r="AK10" i="29"/>
  <c r="M154" i="33" s="1"/>
  <c r="N154" i="33" s="1"/>
  <c r="O154" i="33" s="1"/>
  <c r="AZ10" i="29"/>
  <c r="BD10" i="29" s="1"/>
  <c r="X31" i="33" s="1"/>
  <c r="AT10" i="29"/>
  <c r="Q31" i="33" s="1"/>
  <c r="BU10" i="29"/>
  <c r="R31" i="33" s="1"/>
  <c r="S31" i="33" s="1"/>
  <c r="AE12" i="29"/>
  <c r="AO10" i="29"/>
  <c r="AO12" i="29"/>
  <c r="AF10" i="29"/>
  <c r="AL10" i="29"/>
  <c r="M31" i="33" s="1"/>
  <c r="N31" i="33" s="1"/>
  <c r="O31" i="33" s="1"/>
  <c r="AV10" i="29"/>
  <c r="T31" i="33" s="1"/>
  <c r="U31" i="33" s="1"/>
  <c r="V31" i="33" s="1"/>
  <c r="BF10" i="29"/>
  <c r="AA31" i="33" s="1"/>
  <c r="AB31" i="33" s="1"/>
  <c r="AC31" i="33" s="1"/>
  <c r="BP10" i="29"/>
  <c r="AH31" i="33" s="1"/>
  <c r="AI31" i="33" s="1"/>
  <c r="AE10" i="29"/>
  <c r="BI10" i="29"/>
  <c r="BJ10" i="29"/>
  <c r="BI12" i="29"/>
  <c r="BW10" i="29" l="1"/>
  <c r="Y31" i="33" s="1"/>
  <c r="Z31" i="33" s="1"/>
  <c r="BZ10" i="29"/>
  <c r="AJ10" i="29"/>
  <c r="J31" i="33" s="1"/>
  <c r="BS10" i="29"/>
  <c r="K31" i="33" s="1"/>
  <c r="L31" i="33" s="1"/>
  <c r="BN10" i="29"/>
  <c r="AE31" i="33" s="1"/>
  <c r="BY10" i="29"/>
  <c r="AF31" i="33" s="1"/>
  <c r="AG31" i="33" s="1"/>
  <c r="BX20" i="29" l="1"/>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6" i="33" s="1"/>
  <c r="AA17" i="29"/>
  <c r="AO17" i="29" s="1"/>
  <c r="BY16" i="29"/>
  <c r="BX16" i="29"/>
  <c r="AF156" i="33" s="1"/>
  <c r="AG156" i="33" s="1"/>
  <c r="BW16" i="29"/>
  <c r="BV16" i="29"/>
  <c r="Y156" i="33" s="1"/>
  <c r="Z156" i="33" s="1"/>
  <c r="BU16" i="29"/>
  <c r="BT16" i="29"/>
  <c r="R156" i="33" s="1"/>
  <c r="S156" i="33" s="1"/>
  <c r="BS16" i="29"/>
  <c r="BR16" i="29"/>
  <c r="K156" i="33" s="1"/>
  <c r="L156" i="33" s="1"/>
  <c r="BO16" i="29"/>
  <c r="AH156" i="33" s="1"/>
  <c r="AI156" i="33" s="1"/>
  <c r="BN16" i="29"/>
  <c r="BM16" i="29"/>
  <c r="BE16" i="29"/>
  <c r="AA156" i="33" s="1"/>
  <c r="AB156" i="33" s="1"/>
  <c r="AC156" i="33" s="1"/>
  <c r="BD16" i="29"/>
  <c r="BC16" i="29"/>
  <c r="AU16" i="29"/>
  <c r="T156" i="33" s="1"/>
  <c r="U156" i="33" s="1"/>
  <c r="V156" i="33" s="1"/>
  <c r="AT16" i="29"/>
  <c r="AS16" i="29"/>
  <c r="AK16" i="29"/>
  <c r="M156" i="33" s="1"/>
  <c r="N156" i="33" s="1"/>
  <c r="O156" i="33" s="1"/>
  <c r="AJ16" i="29"/>
  <c r="AI16" i="29"/>
  <c r="AB16" i="29"/>
  <c r="AA16" i="29"/>
  <c r="AE16" i="29" s="1"/>
  <c r="BY15" i="29"/>
  <c r="BX15" i="29"/>
  <c r="AF35" i="33" s="1"/>
  <c r="AG35" i="33" s="1"/>
  <c r="BW15" i="29"/>
  <c r="BV15" i="29"/>
  <c r="Y35" i="33" s="1"/>
  <c r="BU15" i="29"/>
  <c r="BT15" i="29"/>
  <c r="R35" i="33" s="1"/>
  <c r="BS15" i="29"/>
  <c r="K35" i="33" s="1"/>
  <c r="BR15" i="29"/>
  <c r="BO15" i="29"/>
  <c r="AH35" i="33" s="1"/>
  <c r="AI35" i="33" s="1"/>
  <c r="BN15" i="29"/>
  <c r="BM15" i="29"/>
  <c r="BE15" i="29"/>
  <c r="AA35" i="33" s="1"/>
  <c r="AB35" i="33" s="1"/>
  <c r="BD15" i="29"/>
  <c r="BC15" i="29"/>
  <c r="AU15" i="29"/>
  <c r="T35" i="33" s="1"/>
  <c r="U35" i="33" s="1"/>
  <c r="AT15" i="29"/>
  <c r="AS15" i="29"/>
  <c r="AK15" i="29"/>
  <c r="M35" i="33" s="1"/>
  <c r="N35" i="33" s="1"/>
  <c r="AJ15" i="29"/>
  <c r="AI15" i="29"/>
  <c r="AV15" i="29"/>
  <c r="BI15" i="29"/>
  <c r="BY14" i="29"/>
  <c r="BX14" i="29"/>
  <c r="AF155" i="33" s="1"/>
  <c r="AG155" i="33" s="1"/>
  <c r="BW14" i="29"/>
  <c r="BV14" i="29"/>
  <c r="Y155" i="33" s="1"/>
  <c r="BU14" i="29"/>
  <c r="BT14" i="29"/>
  <c r="R155" i="33" s="1"/>
  <c r="BS14" i="29"/>
  <c r="BR14" i="29"/>
  <c r="K155" i="33" s="1"/>
  <c r="BO14" i="29"/>
  <c r="AH155" i="33" s="1"/>
  <c r="AI155" i="33" s="1"/>
  <c r="BN14" i="29"/>
  <c r="BM14" i="29"/>
  <c r="BE14" i="29"/>
  <c r="AA155" i="33" s="1"/>
  <c r="AB155" i="33" s="1"/>
  <c r="BD14" i="29"/>
  <c r="BC14" i="29"/>
  <c r="AU14" i="29"/>
  <c r="T155" i="33" s="1"/>
  <c r="U155" i="33" s="1"/>
  <c r="AT14" i="29"/>
  <c r="AS14" i="29"/>
  <c r="AK14" i="29"/>
  <c r="M155" i="33" s="1"/>
  <c r="N155" i="33" s="1"/>
  <c r="AJ14" i="29"/>
  <c r="AI14" i="29"/>
  <c r="AB14" i="29"/>
  <c r="AA14" i="29"/>
  <c r="AY14" i="29" s="1"/>
  <c r="BX9" i="29"/>
  <c r="BV9" i="29"/>
  <c r="AC10" i="35" s="1"/>
  <c r="BT9" i="29"/>
  <c r="P10" i="35" s="1"/>
  <c r="BR9" i="29"/>
  <c r="K152" i="33" s="1"/>
  <c r="L152" i="33" s="1"/>
  <c r="BO9" i="29"/>
  <c r="AH152" i="33" s="1"/>
  <c r="AI152" i="33" s="1"/>
  <c r="BM9" i="29"/>
  <c r="BE9" i="29"/>
  <c r="BC9" i="29"/>
  <c r="AU9" i="29"/>
  <c r="AS9" i="29"/>
  <c r="AK9" i="29"/>
  <c r="M152" i="33" s="1"/>
  <c r="AI9" i="29"/>
  <c r="AB9" i="29"/>
  <c r="AA9" i="29"/>
  <c r="AO9" i="29" s="1"/>
  <c r="AA152" i="33" l="1"/>
  <c r="AB152" i="33" s="1"/>
  <c r="AC152" i="33" s="1"/>
  <c r="AI10" i="35" s="1"/>
  <c r="T152" i="33"/>
  <c r="U152" i="33" s="1"/>
  <c r="V152" i="33" s="1"/>
  <c r="V10" i="35" s="1"/>
  <c r="U10" i="35"/>
  <c r="T10" i="35"/>
  <c r="S10" i="35"/>
  <c r="R10" i="35"/>
  <c r="Q10" i="35"/>
  <c r="N152" i="33"/>
  <c r="O152" i="33" s="1"/>
  <c r="I10" i="35" s="1"/>
  <c r="AF10" i="35"/>
  <c r="AE10" i="35"/>
  <c r="AD10" i="35"/>
  <c r="AH10" i="35"/>
  <c r="AG10" i="35"/>
  <c r="AV10" i="35"/>
  <c r="AP10" i="35"/>
  <c r="AH216" i="33"/>
  <c r="AI216" i="33" s="1"/>
  <c r="AH36" i="33"/>
  <c r="AI36" i="33" s="1"/>
  <c r="M157" i="33"/>
  <c r="N157" i="33" s="1"/>
  <c r="O157" i="33" s="1"/>
  <c r="AF217" i="33"/>
  <c r="AG217" i="33" s="1"/>
  <c r="AF38" i="33"/>
  <c r="AG38" i="33" s="1"/>
  <c r="Y157" i="33"/>
  <c r="Z157" i="33" s="1"/>
  <c r="Y37" i="33"/>
  <c r="Z37" i="33" s="1"/>
  <c r="N36" i="33"/>
  <c r="O36" i="33" s="1"/>
  <c r="M216" i="33"/>
  <c r="N216" i="33" s="1"/>
  <c r="O216" i="33" s="1"/>
  <c r="R36" i="33"/>
  <c r="S36" i="33" s="1"/>
  <c r="R216" i="33"/>
  <c r="S216" i="33" s="1"/>
  <c r="T37" i="33"/>
  <c r="U37" i="33" s="1"/>
  <c r="V37" i="33" s="1"/>
  <c r="T157" i="33"/>
  <c r="U157" i="33" s="1"/>
  <c r="V157" i="33" s="1"/>
  <c r="AF37" i="33"/>
  <c r="AG37" i="33" s="1"/>
  <c r="AF157" i="33"/>
  <c r="AG157" i="33" s="1"/>
  <c r="AA38" i="33"/>
  <c r="AB38" i="33" s="1"/>
  <c r="AC38" i="33" s="1"/>
  <c r="AA217" i="33"/>
  <c r="AB217" i="33" s="1"/>
  <c r="AC217" i="33" s="1"/>
  <c r="AH39" i="33"/>
  <c r="AI39" i="33" s="1"/>
  <c r="AH158" i="33"/>
  <c r="AI158" i="33" s="1"/>
  <c r="Y38" i="33"/>
  <c r="Z38" i="33" s="1"/>
  <c r="Y217" i="33"/>
  <c r="Z217" i="33" s="1"/>
  <c r="T217" i="33"/>
  <c r="U217" i="33" s="1"/>
  <c r="V217" i="33" s="1"/>
  <c r="T38" i="33"/>
  <c r="U38" i="33" s="1"/>
  <c r="V38" i="33" s="1"/>
  <c r="Y36" i="33"/>
  <c r="Z36" i="33" s="1"/>
  <c r="Y216" i="33"/>
  <c r="Z216" i="33" s="1"/>
  <c r="K158" i="33"/>
  <c r="L158" i="33" s="1"/>
  <c r="K157" i="33"/>
  <c r="L157" i="33" s="1"/>
  <c r="C10" i="35"/>
  <c r="T216" i="33"/>
  <c r="U216" i="33" s="1"/>
  <c r="V216" i="33" s="1"/>
  <c r="T36" i="33"/>
  <c r="U36" i="33" s="1"/>
  <c r="V36" i="33" s="1"/>
  <c r="AF36" i="33"/>
  <c r="AG36" i="33" s="1"/>
  <c r="AF216" i="33"/>
  <c r="AG216" i="33" s="1"/>
  <c r="AA157" i="33"/>
  <c r="AB157" i="33" s="1"/>
  <c r="AC157" i="33" s="1"/>
  <c r="AA37" i="33"/>
  <c r="AB37" i="33" s="1"/>
  <c r="AC37" i="33" s="1"/>
  <c r="AH217" i="33"/>
  <c r="AI217" i="33" s="1"/>
  <c r="AH38" i="33"/>
  <c r="AI38" i="33" s="1"/>
  <c r="M158" i="33"/>
  <c r="N158" i="33" s="1"/>
  <c r="O158" i="33" s="1"/>
  <c r="R158" i="33"/>
  <c r="S158" i="33" s="1"/>
  <c r="R39" i="33"/>
  <c r="S39" i="33" s="1"/>
  <c r="K217" i="33"/>
  <c r="L217" i="33" s="1"/>
  <c r="Y158" i="33"/>
  <c r="Z158" i="33" s="1"/>
  <c r="Y39" i="33"/>
  <c r="Z39" i="33" s="1"/>
  <c r="R37" i="33"/>
  <c r="S37" i="33" s="1"/>
  <c r="R157" i="33"/>
  <c r="S157" i="33" s="1"/>
  <c r="AA158" i="33"/>
  <c r="AB158" i="33" s="1"/>
  <c r="AC158" i="33" s="1"/>
  <c r="AA39" i="33"/>
  <c r="AB39" i="33" s="1"/>
  <c r="AC39" i="33" s="1"/>
  <c r="K216" i="33"/>
  <c r="AA36" i="33"/>
  <c r="AB36" i="33" s="1"/>
  <c r="AC36" i="33" s="1"/>
  <c r="AA216" i="33"/>
  <c r="AB216" i="33" s="1"/>
  <c r="AC216" i="33" s="1"/>
  <c r="AH37" i="33"/>
  <c r="AI37" i="33" s="1"/>
  <c r="AH157" i="33"/>
  <c r="AI157" i="33" s="1"/>
  <c r="M217" i="33"/>
  <c r="N217" i="33" s="1"/>
  <c r="O217" i="33" s="1"/>
  <c r="R217" i="33"/>
  <c r="S217" i="33" s="1"/>
  <c r="R38" i="33"/>
  <c r="S38" i="33" s="1"/>
  <c r="T39" i="33"/>
  <c r="U39" i="33" s="1"/>
  <c r="V39" i="33" s="1"/>
  <c r="T158" i="33"/>
  <c r="U158" i="33" s="1"/>
  <c r="V158" i="33" s="1"/>
  <c r="AF39" i="33"/>
  <c r="AG39" i="33" s="1"/>
  <c r="AF158" i="33"/>
  <c r="AG158" i="33" s="1"/>
  <c r="AP17" i="29"/>
  <c r="AT17" i="29" s="1"/>
  <c r="AL16" i="29"/>
  <c r="BZ16" i="29"/>
  <c r="BP20" i="29"/>
  <c r="BP19" i="29"/>
  <c r="BF14" i="29"/>
  <c r="BZ14" i="29"/>
  <c r="BP18" i="29"/>
  <c r="BF18" i="29"/>
  <c r="AF20" i="29"/>
  <c r="AJ20" i="29" s="1"/>
  <c r="BF9" i="29"/>
  <c r="AA29" i="33" s="1"/>
  <c r="AB29" i="33" s="1"/>
  <c r="AC29" i="33" s="1"/>
  <c r="AF9" i="29"/>
  <c r="AF19" i="29"/>
  <c r="BS19" i="29" s="1"/>
  <c r="K38" i="33" s="1"/>
  <c r="L38" i="33" s="1"/>
  <c r="BI14" i="29"/>
  <c r="BJ18" i="29"/>
  <c r="BY18" i="29" s="1"/>
  <c r="BF19" i="29"/>
  <c r="AO14" i="29"/>
  <c r="AO16" i="29"/>
  <c r="BJ19" i="29"/>
  <c r="BN19" i="29" s="1"/>
  <c r="AV18" i="29"/>
  <c r="AZ18" i="29"/>
  <c r="BW18" i="29" s="1"/>
  <c r="AF18" i="29"/>
  <c r="BI9" i="29"/>
  <c r="AE9" i="29"/>
  <c r="AV19" i="29"/>
  <c r="AE15" i="29"/>
  <c r="AE18" i="29"/>
  <c r="AE19" i="29"/>
  <c r="AY15" i="29"/>
  <c r="BI16" i="29"/>
  <c r="BF20" i="29"/>
  <c r="AV16" i="29"/>
  <c r="AO15" i="29"/>
  <c r="AY16" i="29"/>
  <c r="BP16" i="29"/>
  <c r="AY17" i="29"/>
  <c r="AL18" i="29"/>
  <c r="M37" i="33" s="1"/>
  <c r="N37" i="33" s="1"/>
  <c r="O37" i="33" s="1"/>
  <c r="BI18" i="29"/>
  <c r="AZ9" i="29"/>
  <c r="BP9" i="29"/>
  <c r="AH29" i="33" s="1"/>
  <c r="AI29" i="33" s="1"/>
  <c r="AL14" i="29"/>
  <c r="AV14" i="29"/>
  <c r="AL9" i="29"/>
  <c r="M29" i="33" s="1"/>
  <c r="N29" i="33" s="1"/>
  <c r="O29" i="33" s="1"/>
  <c r="AE14" i="29"/>
  <c r="BP14" i="29"/>
  <c r="AP9" i="29"/>
  <c r="BF15" i="29"/>
  <c r="AL15" i="29"/>
  <c r="BP15" i="29"/>
  <c r="BJ9" i="29"/>
  <c r="AV9" i="29"/>
  <c r="T29" i="33" s="1"/>
  <c r="U29" i="33" s="1"/>
  <c r="V29" i="33" s="1"/>
  <c r="AY9" i="29"/>
  <c r="AZ17" i="29"/>
  <c r="BJ17" i="29"/>
  <c r="AV17" i="29"/>
  <c r="BF17" i="29"/>
  <c r="AF17" i="29"/>
  <c r="AJ17" i="29" s="1"/>
  <c r="BP17" i="29"/>
  <c r="BF16" i="29"/>
  <c r="AE17" i="29"/>
  <c r="AO18" i="29"/>
  <c r="AY19" i="29"/>
  <c r="BI20" i="29"/>
  <c r="AP18" i="29"/>
  <c r="AL19" i="29"/>
  <c r="M38" i="33" s="1"/>
  <c r="N38" i="33" s="1"/>
  <c r="O38" i="33" s="1"/>
  <c r="AZ19" i="29"/>
  <c r="AV20" i="29"/>
  <c r="BJ20" i="29"/>
  <c r="BI17" i="29"/>
  <c r="AO19" i="29"/>
  <c r="AY20" i="29"/>
  <c r="AP19" i="29"/>
  <c r="AL20" i="29"/>
  <c r="M39" i="33" s="1"/>
  <c r="N39" i="33" s="1"/>
  <c r="O39" i="33" s="1"/>
  <c r="AZ20" i="29"/>
  <c r="AO20" i="29"/>
  <c r="AP20" i="29"/>
  <c r="BN36" i="27"/>
  <c r="BY36" i="27"/>
  <c r="BD36" i="27"/>
  <c r="BW36" i="27"/>
  <c r="AT36" i="27"/>
  <c r="BU36" i="27"/>
  <c r="AJ36" i="27"/>
  <c r="BS36" i="27"/>
  <c r="BM36" i="27"/>
  <c r="BX36" i="27"/>
  <c r="BC36" i="27"/>
  <c r="BV36" i="27"/>
  <c r="AS36" i="27"/>
  <c r="BT36" i="27"/>
  <c r="AI36" i="27"/>
  <c r="BR36" i="27"/>
  <c r="AB36" i="27"/>
  <c r="AK36" i="27"/>
  <c r="AU36" i="27"/>
  <c r="BE36" i="27"/>
  <c r="BO36" i="27"/>
  <c r="AA36" i="27"/>
  <c r="AY36" i="27" s="1"/>
  <c r="AA10" i="35" l="1"/>
  <c r="Z10" i="35"/>
  <c r="Y10" i="35"/>
  <c r="X10" i="35"/>
  <c r="W10" i="35"/>
  <c r="AJ10" i="35"/>
  <c r="AK10" i="35"/>
  <c r="AN10" i="35"/>
  <c r="AM10" i="35"/>
  <c r="AL10" i="35"/>
  <c r="BY19" i="29"/>
  <c r="L216" i="33"/>
  <c r="C7" i="36" s="1"/>
  <c r="E7" i="36" s="1"/>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210" i="33"/>
  <c r="S210" i="33" s="1"/>
  <c r="Y210" i="33"/>
  <c r="T210" i="33"/>
  <c r="U210" i="33" s="1"/>
  <c r="V210" i="33" s="1"/>
  <c r="AH210" i="33"/>
  <c r="AI210" i="33" s="1"/>
  <c r="AV9" i="35" s="1"/>
  <c r="AA210" i="33"/>
  <c r="AB210" i="33" s="1"/>
  <c r="M210" i="33"/>
  <c r="N210" i="33" s="1"/>
  <c r="AF210" i="33"/>
  <c r="AG210" i="33" s="1"/>
  <c r="K210" i="33"/>
  <c r="AV14" i="35"/>
  <c r="AZ14" i="35" s="1"/>
  <c r="AP14" i="35"/>
  <c r="AU14" i="35" s="1"/>
  <c r="P14" i="35"/>
  <c r="S14" i="35" s="1"/>
  <c r="V14" i="35"/>
  <c r="Z14" i="35" s="1"/>
  <c r="AC14" i="35"/>
  <c r="AD14" i="35" s="1"/>
  <c r="I14" i="35"/>
  <c r="L14" i="35" s="1"/>
  <c r="BF36" i="27"/>
  <c r="BZ36" i="27"/>
  <c r="BU17" i="29"/>
  <c r="BZ18" i="29"/>
  <c r="BZ9" i="29"/>
  <c r="BZ20" i="29"/>
  <c r="BZ17" i="29"/>
  <c r="BZ19" i="29"/>
  <c r="BN18" i="29"/>
  <c r="BS20" i="29"/>
  <c r="K39" i="33" s="1"/>
  <c r="L39" i="33" s="1"/>
  <c r="AJ19" i="29"/>
  <c r="BD18" i="29"/>
  <c r="BS18" i="29"/>
  <c r="K37" i="33" s="1"/>
  <c r="L37" i="33" s="1"/>
  <c r="AJ18" i="29"/>
  <c r="BD19" i="29"/>
  <c r="BW19" i="29"/>
  <c r="BW9" i="29"/>
  <c r="BD9" i="29"/>
  <c r="AJ9" i="29"/>
  <c r="J29" i="33" s="1"/>
  <c r="BS9" i="29"/>
  <c r="K29" i="33" s="1"/>
  <c r="L29" i="33" s="1"/>
  <c r="BU18" i="29"/>
  <c r="AT18" i="29"/>
  <c r="BU9" i="29"/>
  <c r="AT9" i="29"/>
  <c r="AT19" i="29"/>
  <c r="BU19" i="29"/>
  <c r="BN17" i="29"/>
  <c r="BY17" i="29"/>
  <c r="BU20" i="29"/>
  <c r="AT20" i="29"/>
  <c r="BW17" i="29"/>
  <c r="BD17" i="29"/>
  <c r="BS17" i="29"/>
  <c r="K36" i="33" s="1"/>
  <c r="L36" i="33" s="1"/>
  <c r="BD20" i="29"/>
  <c r="BW20" i="29"/>
  <c r="BY9" i="29"/>
  <c r="BN9" i="29"/>
  <c r="BY20" i="29"/>
  <c r="BN20" i="29"/>
  <c r="AV36" i="27"/>
  <c r="AL36" i="27"/>
  <c r="BP36" i="27"/>
  <c r="AO36" i="27"/>
  <c r="AE36" i="27"/>
  <c r="BI36" i="27"/>
  <c r="BC41" i="3"/>
  <c r="BM41" i="3"/>
  <c r="BW41" i="3"/>
  <c r="AS41" i="3"/>
  <c r="P9" i="35" l="1"/>
  <c r="T9" i="35" s="1"/>
  <c r="V9" i="35"/>
  <c r="W9" i="35" s="1"/>
  <c r="C14" i="35"/>
  <c r="H14" i="35" s="1"/>
  <c r="AN14" i="35"/>
  <c r="AJ14" i="35"/>
  <c r="AZ7" i="36"/>
  <c r="AX7" i="36"/>
  <c r="AL14" i="35"/>
  <c r="S9" i="35"/>
  <c r="Q9" i="35"/>
  <c r="U9" i="35" s="1"/>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K14" i="35"/>
  <c r="J14" i="35"/>
  <c r="N14" i="35"/>
  <c r="M14" i="35"/>
  <c r="CM41" i="3"/>
  <c r="CL52" i="3"/>
  <c r="CK52" i="3"/>
  <c r="AF253" i="33" s="1"/>
  <c r="CL51" i="3"/>
  <c r="CK51" i="3"/>
  <c r="AF252" i="33" s="1"/>
  <c r="CK50" i="3"/>
  <c r="AF251" i="33" s="1"/>
  <c r="AG251" i="33" s="1"/>
  <c r="AP8" i="38" s="1"/>
  <c r="R9" i="35" l="1"/>
  <c r="Y9" i="35"/>
  <c r="Z9" i="35"/>
  <c r="AA9" i="35"/>
  <c r="X9" i="35"/>
  <c r="D14" i="35"/>
  <c r="E14" i="35"/>
  <c r="G14" i="35"/>
  <c r="F14" i="35"/>
  <c r="AQ9" i="35"/>
  <c r="AU9" i="35"/>
  <c r="AT9" i="35"/>
  <c r="AR9" i="35"/>
  <c r="AS9" i="35"/>
  <c r="AN9" i="35"/>
  <c r="AM9" i="35"/>
  <c r="AL9" i="35"/>
  <c r="AJ9" i="35"/>
  <c r="AK9" i="35"/>
  <c r="AS8" i="38"/>
  <c r="AR8" i="38"/>
  <c r="AT8" i="38"/>
  <c r="AQ8" i="38"/>
  <c r="AU8" i="38"/>
  <c r="CK40" i="3"/>
  <c r="AF230" i="33" s="1"/>
  <c r="AG230" i="33" s="1"/>
  <c r="CI40" i="3"/>
  <c r="Y230" i="33" s="1"/>
  <c r="Z230" i="33" s="1"/>
  <c r="CG40" i="3"/>
  <c r="R230" i="33" s="1"/>
  <c r="S230" i="33" s="1"/>
  <c r="CE40" i="3"/>
  <c r="K230" i="33" s="1"/>
  <c r="L230" i="33" s="1"/>
  <c r="CB40" i="3"/>
  <c r="AH230" i="33" s="1"/>
  <c r="AI230" i="33" s="1"/>
  <c r="BZ40" i="3"/>
  <c r="BR40" i="3"/>
  <c r="AA230" i="33" s="1"/>
  <c r="AB230" i="33" s="1"/>
  <c r="AC230" i="33" s="1"/>
  <c r="BP40" i="3"/>
  <c r="BF40" i="3"/>
  <c r="AX40" i="3"/>
  <c r="M230" i="33" s="1"/>
  <c r="N230" i="33" s="1"/>
  <c r="O230" i="33" s="1"/>
  <c r="AV40" i="3"/>
  <c r="BH36" i="3"/>
  <c r="T163" i="33" s="1"/>
  <c r="U163" i="33" s="1"/>
  <c r="V163" i="33" s="1"/>
  <c r="BF36" i="3"/>
  <c r="BR36" i="3"/>
  <c r="AA163" i="33" s="1"/>
  <c r="AB163" i="33" s="1"/>
  <c r="AC163" i="33" s="1"/>
  <c r="BP36" i="3"/>
  <c r="CK36" i="3"/>
  <c r="CI36" i="3"/>
  <c r="CG36" i="3"/>
  <c r="CE36" i="3"/>
  <c r="K163" i="33" s="1"/>
  <c r="L163" i="33" s="1"/>
  <c r="CB36" i="3"/>
  <c r="AH163" i="33" s="1"/>
  <c r="AI163" i="33" s="1"/>
  <c r="BZ36" i="3"/>
  <c r="AX36" i="3"/>
  <c r="M163" i="33" s="1"/>
  <c r="AV36" i="3"/>
  <c r="CK34" i="3"/>
  <c r="AF226" i="33" s="1"/>
  <c r="AG226" i="33" s="1"/>
  <c r="CI34" i="3"/>
  <c r="Y226" i="33" s="1"/>
  <c r="Z226" i="33" s="1"/>
  <c r="CG34" i="3"/>
  <c r="R226" i="33" s="1"/>
  <c r="S226" i="33" s="1"/>
  <c r="CE34" i="3"/>
  <c r="K226" i="33" s="1"/>
  <c r="L226" i="33" s="1"/>
  <c r="CK33" i="3"/>
  <c r="AF225" i="33" s="1"/>
  <c r="AG225" i="33" s="1"/>
  <c r="CI33" i="3"/>
  <c r="Y225" i="33" s="1"/>
  <c r="Z225" i="33" s="1"/>
  <c r="CG33" i="3"/>
  <c r="R225" i="33" s="1"/>
  <c r="S225" i="33" s="1"/>
  <c r="CE33" i="3"/>
  <c r="K225" i="33" s="1"/>
  <c r="L225" i="33" s="1"/>
  <c r="CK32" i="3"/>
  <c r="AF161" i="33" s="1"/>
  <c r="AG161" i="33" s="1"/>
  <c r="CI32" i="3"/>
  <c r="Y161" i="33" s="1"/>
  <c r="Z161" i="33" s="1"/>
  <c r="CG32" i="3"/>
  <c r="R161" i="33" s="1"/>
  <c r="S161" i="33" s="1"/>
  <c r="CE32" i="3"/>
  <c r="K161" i="33" s="1"/>
  <c r="L161" i="33" s="1"/>
  <c r="CB34" i="3"/>
  <c r="AH226" i="33" s="1"/>
  <c r="AI226" i="33" s="1"/>
  <c r="BZ34" i="3"/>
  <c r="CB33" i="3"/>
  <c r="AH225" i="33" s="1"/>
  <c r="AI225" i="33" s="1"/>
  <c r="BZ33" i="3"/>
  <c r="CB32" i="3"/>
  <c r="AH161" i="33" s="1"/>
  <c r="AI161" i="33" s="1"/>
  <c r="BZ32" i="3"/>
  <c r="BR34" i="3"/>
  <c r="AA226" i="33" s="1"/>
  <c r="AB226" i="33" s="1"/>
  <c r="AC226" i="33" s="1"/>
  <c r="BP34" i="3"/>
  <c r="BR33" i="3"/>
  <c r="AA225" i="33" s="1"/>
  <c r="AB225" i="33" s="1"/>
  <c r="AC225" i="33" s="1"/>
  <c r="BP33" i="3"/>
  <c r="BR32" i="3"/>
  <c r="AA161" i="33" s="1"/>
  <c r="AB161" i="33" s="1"/>
  <c r="AC161" i="33" s="1"/>
  <c r="BP32" i="3"/>
  <c r="BH34" i="3"/>
  <c r="T226" i="33" s="1"/>
  <c r="U226" i="33" s="1"/>
  <c r="V226" i="33" s="1"/>
  <c r="BF34" i="3"/>
  <c r="BH33" i="3"/>
  <c r="T225" i="33" s="1"/>
  <c r="U225" i="33" s="1"/>
  <c r="V225" i="33" s="1"/>
  <c r="BF33" i="3"/>
  <c r="BH32" i="3"/>
  <c r="T161" i="33" s="1"/>
  <c r="U161" i="33" s="1"/>
  <c r="V161" i="33" s="1"/>
  <c r="BF32" i="3"/>
  <c r="AX34" i="3"/>
  <c r="M226" i="33" s="1"/>
  <c r="N226" i="33" s="1"/>
  <c r="O226" i="33" s="1"/>
  <c r="AV34" i="3"/>
  <c r="AX33" i="3"/>
  <c r="M225" i="33" s="1"/>
  <c r="N225" i="33" s="1"/>
  <c r="O225" i="33" s="1"/>
  <c r="AV33" i="3"/>
  <c r="AX32" i="3"/>
  <c r="M161" i="33" s="1"/>
  <c r="AV32" i="3"/>
  <c r="CK28" i="3"/>
  <c r="AF222" i="33" s="1"/>
  <c r="AG222" i="33" s="1"/>
  <c r="CI28" i="3"/>
  <c r="Y222" i="33" s="1"/>
  <c r="Z222" i="33" s="1"/>
  <c r="CG28" i="3"/>
  <c r="R222" i="33" s="1"/>
  <c r="S222" i="33" s="1"/>
  <c r="CB28" i="3"/>
  <c r="AH222" i="33" s="1"/>
  <c r="AI222" i="33" s="1"/>
  <c r="BZ28" i="3"/>
  <c r="BR28" i="3"/>
  <c r="AA222" i="33" s="1"/>
  <c r="AB222" i="33" s="1"/>
  <c r="AC222" i="33" s="1"/>
  <c r="BP28" i="3"/>
  <c r="BH40" i="3"/>
  <c r="T230" i="33" s="1"/>
  <c r="U230" i="33" s="1"/>
  <c r="V230" i="33" s="1"/>
  <c r="CE28" i="3"/>
  <c r="K222" i="33" s="1"/>
  <c r="L222" i="33" s="1"/>
  <c r="BZ27" i="3"/>
  <c r="CK27" i="3"/>
  <c r="AF221" i="33" s="1"/>
  <c r="AG221" i="33" s="1"/>
  <c r="BP27" i="3"/>
  <c r="CI27" i="3"/>
  <c r="Y221" i="33" s="1"/>
  <c r="Z221" i="33" s="1"/>
  <c r="BF27" i="3"/>
  <c r="CG27" i="3"/>
  <c r="R221" i="33" s="1"/>
  <c r="S221" i="33" s="1"/>
  <c r="AV27" i="3"/>
  <c r="CE27" i="3"/>
  <c r="K221" i="33" s="1"/>
  <c r="L221" i="33" s="1"/>
  <c r="AX27" i="3"/>
  <c r="M221" i="33" s="1"/>
  <c r="N221" i="33" s="1"/>
  <c r="O221" i="33" s="1"/>
  <c r="BH27" i="3"/>
  <c r="T221" i="33" s="1"/>
  <c r="U221" i="33" s="1"/>
  <c r="V221" i="33" s="1"/>
  <c r="BR27" i="3"/>
  <c r="AA221" i="33" s="1"/>
  <c r="AB221" i="33" s="1"/>
  <c r="AC221" i="33" s="1"/>
  <c r="CB27" i="3"/>
  <c r="AH221" i="33" s="1"/>
  <c r="AI221" i="33" s="1"/>
  <c r="N161" i="33" l="1"/>
  <c r="O161" i="33" s="1"/>
  <c r="N163" i="33"/>
  <c r="O163" i="33" s="1"/>
  <c r="BC15" i="3"/>
  <c r="BO20" i="27" l="1"/>
  <c r="BN20" i="27"/>
  <c r="BM20" i="27"/>
  <c r="BO19" i="27"/>
  <c r="BN19" i="27"/>
  <c r="BM19" i="27"/>
  <c r="BO18" i="27"/>
  <c r="BN18" i="27"/>
  <c r="BM18" i="27"/>
  <c r="BO17" i="27"/>
  <c r="BN17" i="27"/>
  <c r="BM17" i="27"/>
  <c r="AF137" i="33" s="1"/>
  <c r="BO16" i="27"/>
  <c r="BM16" i="27"/>
  <c r="BO14" i="27"/>
  <c r="BM14" i="27"/>
  <c r="BE20" i="27"/>
  <c r="BD20" i="27"/>
  <c r="BC20" i="27"/>
  <c r="BE19" i="27"/>
  <c r="BD19" i="27"/>
  <c r="BC19" i="27"/>
  <c r="BE18" i="27"/>
  <c r="BD18" i="27"/>
  <c r="BC18" i="27"/>
  <c r="BE17" i="27"/>
  <c r="BD17" i="27"/>
  <c r="BC17" i="27"/>
  <c r="BE16" i="27"/>
  <c r="BD16" i="27"/>
  <c r="BC16" i="27"/>
  <c r="BE14" i="27"/>
  <c r="BC14" i="27"/>
  <c r="AU20" i="27"/>
  <c r="AT20" i="27"/>
  <c r="AS20" i="27"/>
  <c r="AU19" i="27"/>
  <c r="AT19" i="27"/>
  <c r="AS19" i="27"/>
  <c r="AU18" i="27"/>
  <c r="AT18" i="27"/>
  <c r="AS18" i="27"/>
  <c r="AU17" i="27"/>
  <c r="AT17" i="27"/>
  <c r="AS17" i="27"/>
  <c r="AU16" i="27"/>
  <c r="AT16" i="27"/>
  <c r="AS16" i="27"/>
  <c r="AU14" i="27"/>
  <c r="AS14" i="27"/>
  <c r="AK20" i="27"/>
  <c r="AJ20" i="27"/>
  <c r="AI20" i="27"/>
  <c r="AK19" i="27"/>
  <c r="AJ19" i="27"/>
  <c r="AI19" i="27"/>
  <c r="AK18" i="27"/>
  <c r="AJ18" i="27"/>
  <c r="AI18" i="27"/>
  <c r="AK17" i="27"/>
  <c r="AJ17" i="27"/>
  <c r="AI17" i="27"/>
  <c r="K137" i="33" s="1"/>
  <c r="AK16" i="27"/>
  <c r="AJ16" i="27"/>
  <c r="AI16" i="27"/>
  <c r="AK14" i="27"/>
  <c r="AI14" i="27"/>
  <c r="BY20" i="27"/>
  <c r="BX20" i="27"/>
  <c r="BW20" i="27"/>
  <c r="BV20" i="27"/>
  <c r="BU20" i="27"/>
  <c r="BT20" i="27"/>
  <c r="BS20" i="27"/>
  <c r="BR20" i="27"/>
  <c r="BY19" i="27"/>
  <c r="BX19" i="27"/>
  <c r="BW19" i="27"/>
  <c r="BV19" i="27"/>
  <c r="BU19" i="27"/>
  <c r="BT19" i="27"/>
  <c r="BS19" i="27"/>
  <c r="BR19"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4" i="27"/>
  <c r="BV14" i="27"/>
  <c r="BT14" i="27"/>
  <c r="BR14" i="27"/>
  <c r="AB20" i="27"/>
  <c r="AA20" i="27"/>
  <c r="BI20" i="27" s="1"/>
  <c r="AB19" i="27"/>
  <c r="AA19" i="27"/>
  <c r="BI19" i="27" s="1"/>
  <c r="AB18" i="27"/>
  <c r="AA18" i="27"/>
  <c r="BI18" i="27" s="1"/>
  <c r="AB17" i="27"/>
  <c r="AA17" i="27"/>
  <c r="BI17" i="27" s="1"/>
  <c r="AB16" i="27"/>
  <c r="AA16" i="27"/>
  <c r="AB14" i="27"/>
  <c r="AA14" i="27"/>
  <c r="AE16" i="27" l="1"/>
  <c r="AY16" i="27"/>
  <c r="M137" i="33"/>
  <c r="N137" i="33" s="1"/>
  <c r="O137" i="33" s="1"/>
  <c r="AH137" i="33"/>
  <c r="AI137" i="33" s="1"/>
  <c r="AA137" i="33"/>
  <c r="AB137" i="33" s="1"/>
  <c r="AC137" i="33" s="1"/>
  <c r="Y137" i="33"/>
  <c r="Z137" i="33" s="1"/>
  <c r="R137" i="33"/>
  <c r="S137" i="33" s="1"/>
  <c r="T137" i="33"/>
  <c r="U137" i="33" s="1"/>
  <c r="V137" i="33" s="1"/>
  <c r="T204" i="33"/>
  <c r="L137" i="33"/>
  <c r="K139" i="33"/>
  <c r="L139" i="33" s="1"/>
  <c r="R136" i="33"/>
  <c r="R138" i="33"/>
  <c r="S138" i="33" s="1"/>
  <c r="T140" i="33"/>
  <c r="U140" i="33" s="1"/>
  <c r="V140" i="33" s="1"/>
  <c r="AA139" i="33"/>
  <c r="AB139" i="33" s="1"/>
  <c r="AC139" i="33" s="1"/>
  <c r="AG137" i="33"/>
  <c r="AF139" i="33"/>
  <c r="AG139" i="33" s="1"/>
  <c r="Y139" i="33"/>
  <c r="Z139" i="33" s="1"/>
  <c r="Y204" i="33"/>
  <c r="Z204" i="33" s="1"/>
  <c r="Y140" i="33"/>
  <c r="Z140" i="33" s="1"/>
  <c r="AF136" i="33"/>
  <c r="M136" i="33"/>
  <c r="AH136" i="33"/>
  <c r="M139" i="33"/>
  <c r="N139" i="33" s="1"/>
  <c r="O139" i="33" s="1"/>
  <c r="T136" i="33"/>
  <c r="T138" i="33"/>
  <c r="U138" i="33" s="1"/>
  <c r="V138" i="33" s="1"/>
  <c r="AA204" i="33"/>
  <c r="AB204" i="33" s="1"/>
  <c r="AC204" i="33" s="1"/>
  <c r="AH139" i="33"/>
  <c r="AI139" i="33" s="1"/>
  <c r="AH138" i="33"/>
  <c r="AI138" i="33" s="1"/>
  <c r="K204" i="33"/>
  <c r="K140" i="33"/>
  <c r="L140" i="33" s="1"/>
  <c r="R139" i="33"/>
  <c r="S139" i="33" s="1"/>
  <c r="Y136" i="33"/>
  <c r="Y138" i="33"/>
  <c r="Z138" i="33" s="1"/>
  <c r="AA140" i="33"/>
  <c r="AB140" i="33" s="1"/>
  <c r="AC140" i="33" s="1"/>
  <c r="AF140" i="33"/>
  <c r="AG140" i="33" s="1"/>
  <c r="R204" i="33"/>
  <c r="R140" i="33"/>
  <c r="S140" i="33" s="1"/>
  <c r="M138" i="33"/>
  <c r="N138" i="33" s="1"/>
  <c r="O138" i="33" s="1"/>
  <c r="M204" i="33"/>
  <c r="AF204" i="33"/>
  <c r="AG204" i="33" s="1"/>
  <c r="K136" i="33"/>
  <c r="K138" i="33"/>
  <c r="L138" i="33" s="1"/>
  <c r="M140" i="33"/>
  <c r="N140" i="33" s="1"/>
  <c r="O140" i="33" s="1"/>
  <c r="T139" i="33"/>
  <c r="U139" i="33" s="1"/>
  <c r="V139" i="33" s="1"/>
  <c r="AA136" i="33"/>
  <c r="AA138" i="33"/>
  <c r="AB138" i="33" s="1"/>
  <c r="AC138" i="33" s="1"/>
  <c r="AH204" i="33"/>
  <c r="AI204" i="33" s="1"/>
  <c r="AF138" i="33"/>
  <c r="AG138" i="33" s="1"/>
  <c r="AH140" i="33"/>
  <c r="AI140" i="33" s="1"/>
  <c r="BP19" i="27"/>
  <c r="BZ19" i="27"/>
  <c r="BP16" i="27"/>
  <c r="BZ16" i="27"/>
  <c r="BP18" i="27"/>
  <c r="BZ18" i="27"/>
  <c r="BF20" i="27"/>
  <c r="BZ20" i="27"/>
  <c r="BJ14" i="27"/>
  <c r="BY14" i="27" s="1"/>
  <c r="BF17" i="27"/>
  <c r="BZ17" i="27"/>
  <c r="AO16" i="27"/>
  <c r="BI16" i="27"/>
  <c r="AE17" i="27"/>
  <c r="AL16" i="27"/>
  <c r="AV14" i="27"/>
  <c r="AV17" i="27"/>
  <c r="BF16" i="27"/>
  <c r="BP14" i="27"/>
  <c r="BP17" i="27"/>
  <c r="AO17" i="27"/>
  <c r="AY17" i="27"/>
  <c r="AE18" i="27"/>
  <c r="AL18" i="27"/>
  <c r="AL19" i="27"/>
  <c r="AV20" i="27"/>
  <c r="BF18" i="27"/>
  <c r="BF19" i="27"/>
  <c r="BP20" i="27"/>
  <c r="AO18" i="27"/>
  <c r="AY18" i="27"/>
  <c r="AE19" i="27"/>
  <c r="AL14" i="27"/>
  <c r="AL17" i="27"/>
  <c r="AV16" i="27"/>
  <c r="BF14" i="27"/>
  <c r="AO19" i="27"/>
  <c r="AY19" i="27"/>
  <c r="AE20" i="27"/>
  <c r="AO20" i="27"/>
  <c r="AY20" i="27"/>
  <c r="AL20" i="27"/>
  <c r="AV18" i="27"/>
  <c r="AV19" i="27"/>
  <c r="AF14" i="27"/>
  <c r="AP14" i="27"/>
  <c r="AZ14" i="27"/>
  <c r="U204" i="33" l="1"/>
  <c r="V204" i="33" s="1"/>
  <c r="S204" i="33"/>
  <c r="U136" i="33"/>
  <c r="AB136" i="33"/>
  <c r="AG136" i="33"/>
  <c r="S136" i="33"/>
  <c r="Z136" i="33"/>
  <c r="AI136" i="33"/>
  <c r="BN14" i="27"/>
  <c r="L136" i="33"/>
  <c r="L204" i="33"/>
  <c r="N204" i="33"/>
  <c r="O204" i="33" s="1"/>
  <c r="N136" i="33"/>
  <c r="AH16" i="33"/>
  <c r="AI16" i="33" s="1"/>
  <c r="T16" i="33"/>
  <c r="AF16" i="33"/>
  <c r="AG16" i="33" s="1"/>
  <c r="M16" i="33"/>
  <c r="AA16" i="33"/>
  <c r="AB16" i="33" s="1"/>
  <c r="AC16" i="33" s="1"/>
  <c r="BZ14" i="27"/>
  <c r="BU14" i="27"/>
  <c r="AT14" i="27"/>
  <c r="BW14" i="27"/>
  <c r="BD14" i="27"/>
  <c r="BS14" i="27"/>
  <c r="AJ14" i="27"/>
  <c r="P9" i="36" l="1"/>
  <c r="C6" i="35"/>
  <c r="D6" i="35" s="1"/>
  <c r="U16" i="33"/>
  <c r="N16" i="33"/>
  <c r="O16" i="33" s="1"/>
  <c r="AP9" i="36"/>
  <c r="AP6" i="35"/>
  <c r="P6" i="35"/>
  <c r="AV6" i="35"/>
  <c r="AV9" i="36"/>
  <c r="AC6" i="35"/>
  <c r="AC9" i="36"/>
  <c r="AC136" i="33"/>
  <c r="V136" i="33"/>
  <c r="C9" i="36"/>
  <c r="H9" i="36" s="1"/>
  <c r="O136" i="33"/>
  <c r="I6" i="35" s="1"/>
  <c r="X16" i="33"/>
  <c r="Y16" i="33"/>
  <c r="Z16" i="33" s="1"/>
  <c r="K16" i="33"/>
  <c r="R16" i="33"/>
  <c r="J16" i="33"/>
  <c r="Q16" i="33"/>
  <c r="AE16" i="33"/>
  <c r="CK140" i="3"/>
  <c r="AF292" i="33" s="1"/>
  <c r="AG292" i="33" s="1"/>
  <c r="V9" i="36" l="1"/>
  <c r="S16" i="33"/>
  <c r="L16" i="33"/>
  <c r="V16" i="33"/>
  <c r="AD9" i="36"/>
  <c r="AG9" i="36"/>
  <c r="AF9" i="36"/>
  <c r="AH9" i="36"/>
  <c r="AE9" i="36"/>
  <c r="R6" i="35"/>
  <c r="T6" i="35"/>
  <c r="U6" i="35"/>
  <c r="Q6" i="35"/>
  <c r="S6" i="35"/>
  <c r="AE6" i="35"/>
  <c r="AF6" i="35"/>
  <c r="AG6" i="35"/>
  <c r="AD6" i="35"/>
  <c r="AH6" i="35"/>
  <c r="V6" i="35"/>
  <c r="AI9" i="36"/>
  <c r="AI6" i="35"/>
  <c r="AW9" i="36"/>
  <c r="BA9" i="36"/>
  <c r="AX9" i="36"/>
  <c r="AZ9" i="36"/>
  <c r="AY9" i="36"/>
  <c r="AS9" i="36"/>
  <c r="AU9" i="36"/>
  <c r="AQ9" i="36"/>
  <c r="AR9" i="36"/>
  <c r="AT9" i="36"/>
  <c r="R9" i="36"/>
  <c r="T9" i="36"/>
  <c r="S9" i="36"/>
  <c r="Q9" i="36"/>
  <c r="U9" i="36"/>
  <c r="AU6" i="35"/>
  <c r="AS6" i="35"/>
  <c r="AQ6" i="35"/>
  <c r="AT6" i="35"/>
  <c r="AR6" i="35"/>
  <c r="AW6" i="35"/>
  <c r="BA6" i="35"/>
  <c r="AX6" i="35"/>
  <c r="AZ6" i="35"/>
  <c r="AY6" i="35"/>
  <c r="D9" i="36"/>
  <c r="G6" i="35"/>
  <c r="E6" i="35"/>
  <c r="H6" i="35"/>
  <c r="F6" i="35"/>
  <c r="E9" i="36"/>
  <c r="G9" i="36"/>
  <c r="F9" i="36"/>
  <c r="I9" i="36"/>
  <c r="BK138" i="3"/>
  <c r="BA139" i="3"/>
  <c r="AQ139" i="3"/>
  <c r="AN9" i="36" l="1"/>
  <c r="AM9" i="36"/>
  <c r="AK9" i="36"/>
  <c r="AL9" i="36"/>
  <c r="AJ9" i="36"/>
  <c r="AN6" i="35"/>
  <c r="AK6" i="35"/>
  <c r="AM6" i="35"/>
  <c r="AJ6" i="35"/>
  <c r="AL6" i="35"/>
  <c r="AA6" i="35"/>
  <c r="Y6" i="35"/>
  <c r="W6" i="35"/>
  <c r="Z6" i="35"/>
  <c r="X6" i="35"/>
  <c r="X9" i="36"/>
  <c r="Z9" i="36"/>
  <c r="AA9" i="36"/>
  <c r="Y9" i="36"/>
  <c r="W9" i="36"/>
  <c r="M9" i="36"/>
  <c r="L9" i="36"/>
  <c r="J9" i="36"/>
  <c r="K9" i="36"/>
  <c r="N9" i="36"/>
  <c r="M6" i="35"/>
  <c r="N6" i="35"/>
  <c r="J6" i="35"/>
  <c r="L6" i="35"/>
  <c r="K6" i="35"/>
  <c r="AB35" i="27"/>
  <c r="BZ35" i="27" s="1"/>
  <c r="AA35" i="27"/>
  <c r="AO48" i="3" l="1"/>
  <c r="BS48" i="3" s="1"/>
  <c r="AN48" i="3"/>
  <c r="BV48" i="3" s="1"/>
  <c r="AO47" i="3"/>
  <c r="CC47" i="3" s="1"/>
  <c r="AN47" i="3"/>
  <c r="BL47" i="3" s="1"/>
  <c r="AO46" i="3"/>
  <c r="BS46" i="3" s="1"/>
  <c r="AN46" i="3"/>
  <c r="BV46" i="3" s="1"/>
  <c r="AO45" i="3"/>
  <c r="BI45" i="3" s="1"/>
  <c r="AN45" i="3"/>
  <c r="BL45" i="3" s="1"/>
  <c r="CL48" i="3"/>
  <c r="CK48" i="3"/>
  <c r="AF357" i="33" s="1"/>
  <c r="AG357" i="33" s="1"/>
  <c r="CJ48" i="3"/>
  <c r="CI48" i="3"/>
  <c r="Y357" i="33" s="1"/>
  <c r="Z357" i="33" s="1"/>
  <c r="CH48" i="3"/>
  <c r="CG48" i="3"/>
  <c r="R357" i="33" s="1"/>
  <c r="S357" i="33" s="1"/>
  <c r="CF48" i="3"/>
  <c r="CE48" i="3"/>
  <c r="K357" i="33" s="1"/>
  <c r="L357" i="33" s="1"/>
  <c r="CB48" i="3"/>
  <c r="AH357" i="33" s="1"/>
  <c r="AI357" i="33" s="1"/>
  <c r="CA48" i="3"/>
  <c r="BZ48" i="3"/>
  <c r="BR48" i="3"/>
  <c r="AA357" i="33" s="1"/>
  <c r="AB357" i="33" s="1"/>
  <c r="AC357" i="33" s="1"/>
  <c r="BQ48" i="3"/>
  <c r="BP48" i="3"/>
  <c r="BH48" i="3"/>
  <c r="T357" i="33" s="1"/>
  <c r="U357" i="33" s="1"/>
  <c r="V357" i="33" s="1"/>
  <c r="BG48" i="3"/>
  <c r="BF48" i="3"/>
  <c r="AX48" i="3"/>
  <c r="M357" i="33" s="1"/>
  <c r="AW48" i="3"/>
  <c r="AV48" i="3"/>
  <c r="CL47" i="3"/>
  <c r="CK47" i="3"/>
  <c r="AF248" i="33" s="1"/>
  <c r="CJ47" i="3"/>
  <c r="CI47" i="3"/>
  <c r="Y248" i="33" s="1"/>
  <c r="Z248" i="33" s="1"/>
  <c r="CH47" i="3"/>
  <c r="CG47" i="3"/>
  <c r="R248" i="33" s="1"/>
  <c r="CF47" i="3"/>
  <c r="CE47" i="3"/>
  <c r="K248" i="33" s="1"/>
  <c r="L248" i="33" s="1"/>
  <c r="CB47" i="3"/>
  <c r="AH248" i="33" s="1"/>
  <c r="AI248" i="33" s="1"/>
  <c r="CA47" i="3"/>
  <c r="BZ47" i="3"/>
  <c r="BR47" i="3"/>
  <c r="AA248" i="33" s="1"/>
  <c r="AB248" i="33" s="1"/>
  <c r="AC248" i="33" s="1"/>
  <c r="BQ47" i="3"/>
  <c r="BP47" i="3"/>
  <c r="BH47" i="3"/>
  <c r="T248" i="33" s="1"/>
  <c r="U248" i="33" s="1"/>
  <c r="V248" i="33" s="1"/>
  <c r="BG47" i="3"/>
  <c r="BF47" i="3"/>
  <c r="AX47" i="3"/>
  <c r="M248" i="33" s="1"/>
  <c r="AW47" i="3"/>
  <c r="AV47" i="3"/>
  <c r="CL46" i="3"/>
  <c r="CK46" i="3"/>
  <c r="AF176" i="33" s="1"/>
  <c r="AG176" i="33" s="1"/>
  <c r="CJ46" i="3"/>
  <c r="CI46" i="3"/>
  <c r="Y176" i="33" s="1"/>
  <c r="Z176" i="33" s="1"/>
  <c r="CH46" i="3"/>
  <c r="CG46" i="3"/>
  <c r="R176" i="33" s="1"/>
  <c r="S176" i="33" s="1"/>
  <c r="CF46" i="3"/>
  <c r="CE46" i="3"/>
  <c r="K176" i="33" s="1"/>
  <c r="L176" i="33" s="1"/>
  <c r="CB46" i="3"/>
  <c r="AH176" i="33" s="1"/>
  <c r="AI176" i="33" s="1"/>
  <c r="CA46" i="3"/>
  <c r="BZ46" i="3"/>
  <c r="BR46" i="3"/>
  <c r="AA176" i="33" s="1"/>
  <c r="AB176" i="33" s="1"/>
  <c r="AC176" i="33" s="1"/>
  <c r="BQ46" i="3"/>
  <c r="BP46" i="3"/>
  <c r="BH46" i="3"/>
  <c r="T176" i="33" s="1"/>
  <c r="U176" i="33" s="1"/>
  <c r="V176" i="33" s="1"/>
  <c r="BG46" i="3"/>
  <c r="BF46" i="3"/>
  <c r="M176" i="33"/>
  <c r="AW46" i="3"/>
  <c r="AV46" i="3"/>
  <c r="CL45" i="3"/>
  <c r="CK45" i="3"/>
  <c r="AF247" i="33" s="1"/>
  <c r="AG247" i="33" s="1"/>
  <c r="CJ45" i="3"/>
  <c r="CI45" i="3"/>
  <c r="Y247" i="33" s="1"/>
  <c r="Z247" i="33" s="1"/>
  <c r="CH45" i="3"/>
  <c r="CG45" i="3"/>
  <c r="R247" i="33" s="1"/>
  <c r="S247" i="33" s="1"/>
  <c r="CF45" i="3"/>
  <c r="CE45" i="3"/>
  <c r="K247" i="33" s="1"/>
  <c r="L247" i="33" s="1"/>
  <c r="CB45" i="3"/>
  <c r="AH247" i="33" s="1"/>
  <c r="AI247" i="33" s="1"/>
  <c r="CA45" i="3"/>
  <c r="BZ45" i="3"/>
  <c r="BR45" i="3"/>
  <c r="AA247" i="33" s="1"/>
  <c r="AB247" i="33" s="1"/>
  <c r="AC247" i="33" s="1"/>
  <c r="BQ45" i="3"/>
  <c r="BP45" i="3"/>
  <c r="BH45" i="3"/>
  <c r="T247" i="33" s="1"/>
  <c r="U247" i="33" s="1"/>
  <c r="V247" i="33" s="1"/>
  <c r="BG45" i="3"/>
  <c r="BF45" i="3"/>
  <c r="AX45" i="3"/>
  <c r="M247" i="33" s="1"/>
  <c r="AW45" i="3"/>
  <c r="AV45" i="3"/>
  <c r="CL44" i="3"/>
  <c r="CK44" i="3"/>
  <c r="AF246" i="33" s="1"/>
  <c r="AG246" i="33" s="1"/>
  <c r="CJ44" i="3"/>
  <c r="CI44" i="3"/>
  <c r="Y246" i="33" s="1"/>
  <c r="Z246" i="33" s="1"/>
  <c r="CH44" i="3"/>
  <c r="CG44" i="3"/>
  <c r="R246" i="33" s="1"/>
  <c r="S246" i="33" s="1"/>
  <c r="CF44" i="3"/>
  <c r="CE44" i="3"/>
  <c r="K246" i="33" s="1"/>
  <c r="L246" i="33" s="1"/>
  <c r="CB44" i="3"/>
  <c r="AH246" i="33" s="1"/>
  <c r="AI246" i="33" s="1"/>
  <c r="CA44" i="3"/>
  <c r="BZ44" i="3"/>
  <c r="BR44" i="3"/>
  <c r="AA246" i="33" s="1"/>
  <c r="AB246" i="33" s="1"/>
  <c r="AC246" i="33" s="1"/>
  <c r="BQ44" i="3"/>
  <c r="BP44" i="3"/>
  <c r="BH44" i="3"/>
  <c r="T246" i="33" s="1"/>
  <c r="U246" i="33" s="1"/>
  <c r="V246" i="33" s="1"/>
  <c r="BG44" i="3"/>
  <c r="BF44" i="3"/>
  <c r="AX44" i="3"/>
  <c r="M246" i="33" s="1"/>
  <c r="AW44" i="3"/>
  <c r="AV44" i="3"/>
  <c r="CL43" i="3"/>
  <c r="CK43" i="3"/>
  <c r="CJ43" i="3"/>
  <c r="CI43" i="3"/>
  <c r="CH43" i="3"/>
  <c r="CG43" i="3"/>
  <c r="CF43" i="3"/>
  <c r="CE43" i="3"/>
  <c r="CB43" i="3"/>
  <c r="CA43" i="3"/>
  <c r="BZ43" i="3"/>
  <c r="BR43" i="3"/>
  <c r="BQ43" i="3"/>
  <c r="BP43" i="3"/>
  <c r="BH43" i="3"/>
  <c r="BG43" i="3"/>
  <c r="BF43" i="3"/>
  <c r="AX43" i="3"/>
  <c r="AW43" i="3"/>
  <c r="AV43" i="3"/>
  <c r="AO44" i="3"/>
  <c r="AY44" i="3" s="1"/>
  <c r="AN44" i="3"/>
  <c r="BL44" i="3" s="1"/>
  <c r="AO43" i="3"/>
  <c r="CC43" i="3" s="1"/>
  <c r="AN43" i="3"/>
  <c r="BL43" i="3" s="1"/>
  <c r="N247" i="33" l="1"/>
  <c r="O247" i="33" s="1"/>
  <c r="N357" i="33"/>
  <c r="O357" i="33" s="1"/>
  <c r="N248" i="33"/>
  <c r="O248" i="33" s="1"/>
  <c r="N246" i="33"/>
  <c r="O246" i="33" s="1"/>
  <c r="N176" i="33"/>
  <c r="O176" i="33" s="1"/>
  <c r="Y245" i="33"/>
  <c r="Z245" i="33" s="1"/>
  <c r="AC14" i="36" s="1"/>
  <c r="AF245" i="33"/>
  <c r="AG245" i="33" s="1"/>
  <c r="AP14" i="36" s="1"/>
  <c r="M245" i="33"/>
  <c r="K245" i="33"/>
  <c r="L245" i="33" s="1"/>
  <c r="C14" i="36" s="1"/>
  <c r="AA245" i="33"/>
  <c r="AB245" i="33" s="1"/>
  <c r="AC245" i="33" s="1"/>
  <c r="AI14" i="36" s="1"/>
  <c r="AH245" i="33"/>
  <c r="AI245" i="33" s="1"/>
  <c r="AV14" i="36" s="1"/>
  <c r="T245" i="33"/>
  <c r="U245" i="33" s="1"/>
  <c r="V245" i="33" s="1"/>
  <c r="V14" i="36" s="1"/>
  <c r="R245" i="33"/>
  <c r="S245" i="33" s="1"/>
  <c r="P14" i="36" s="1"/>
  <c r="BB48" i="3"/>
  <c r="AR48" i="3"/>
  <c r="CC46" i="3"/>
  <c r="BI48" i="3"/>
  <c r="CC48" i="3"/>
  <c r="AY48" i="3"/>
  <c r="AY45" i="3"/>
  <c r="CC45" i="3"/>
  <c r="BI47" i="3"/>
  <c r="BB43" i="3"/>
  <c r="AY43" i="3"/>
  <c r="BS43" i="3"/>
  <c r="BB44" i="3"/>
  <c r="AY47" i="3"/>
  <c r="BV47" i="3"/>
  <c r="BI43" i="3"/>
  <c r="BS44" i="3"/>
  <c r="BB46" i="3"/>
  <c r="BV43" i="3"/>
  <c r="BV44" i="3"/>
  <c r="AR43" i="3"/>
  <c r="AR44" i="3"/>
  <c r="BI44" i="3"/>
  <c r="AR46" i="3"/>
  <c r="BL46" i="3"/>
  <c r="CC44" i="3"/>
  <c r="BI46" i="3"/>
  <c r="BB47" i="3"/>
  <c r="BS47" i="3"/>
  <c r="BL48" i="3"/>
  <c r="AY46" i="3"/>
  <c r="AR47" i="3"/>
  <c r="BB45" i="3"/>
  <c r="BV45" i="3"/>
  <c r="AR45" i="3"/>
  <c r="BS45"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45" i="33"/>
  <c r="O245" i="33" s="1"/>
  <c r="I14" i="36" s="1"/>
  <c r="BW9" i="28"/>
  <c r="BV9" i="28"/>
  <c r="AF232" i="33" s="1"/>
  <c r="BU9" i="28"/>
  <c r="BT9" i="28"/>
  <c r="Y232" i="33" s="1"/>
  <c r="BS9" i="28"/>
  <c r="BR9" i="28"/>
  <c r="R232" i="33" s="1"/>
  <c r="BQ9" i="28"/>
  <c r="BP9" i="28"/>
  <c r="K232" i="33" s="1"/>
  <c r="L232" i="33" s="1"/>
  <c r="BM9" i="28"/>
  <c r="AH232" i="33" s="1"/>
  <c r="AI232" i="33" s="1"/>
  <c r="BL9" i="28"/>
  <c r="BK9" i="28"/>
  <c r="BC9" i="28"/>
  <c r="AA232" i="33" s="1"/>
  <c r="AB232" i="33" s="1"/>
  <c r="AC232" i="33" s="1"/>
  <c r="BB9" i="28"/>
  <c r="BA9" i="28"/>
  <c r="AS9" i="28"/>
  <c r="T232" i="33" s="1"/>
  <c r="U232" i="33" s="1"/>
  <c r="V232" i="33" s="1"/>
  <c r="AR9" i="28"/>
  <c r="AQ9" i="28"/>
  <c r="AI9" i="28"/>
  <c r="M232" i="33" s="1"/>
  <c r="N232" i="33" s="1"/>
  <c r="O232" i="33" s="1"/>
  <c r="AH9" i="28"/>
  <c r="AG9" i="28"/>
  <c r="Z9" i="28"/>
  <c r="BN9" i="28" s="1"/>
  <c r="Y9" i="28"/>
  <c r="BG9" i="28" s="1"/>
  <c r="BW8" i="28"/>
  <c r="BV8" i="28"/>
  <c r="AF231" i="33" s="1"/>
  <c r="BU8" i="28"/>
  <c r="BT8" i="28"/>
  <c r="Y231" i="33" s="1"/>
  <c r="BS8" i="28"/>
  <c r="BR8" i="28"/>
  <c r="R231" i="33" s="1"/>
  <c r="BQ8" i="28"/>
  <c r="BP8" i="28"/>
  <c r="K231" i="33" s="1"/>
  <c r="L231" i="33" s="1"/>
  <c r="BM8" i="28"/>
  <c r="AH231" i="33" s="1"/>
  <c r="AI231" i="33" s="1"/>
  <c r="BL8" i="28"/>
  <c r="BK8" i="28"/>
  <c r="BC8" i="28"/>
  <c r="AB231" i="33" s="1"/>
  <c r="AC231" i="33" s="1"/>
  <c r="BB8" i="28"/>
  <c r="BA8" i="28"/>
  <c r="AS8" i="28"/>
  <c r="T231" i="33" s="1"/>
  <c r="U231" i="33" s="1"/>
  <c r="V231" i="33" s="1"/>
  <c r="AR8" i="28"/>
  <c r="AQ8" i="28"/>
  <c r="AI8" i="28"/>
  <c r="M231" i="33" s="1"/>
  <c r="N231" i="33" s="1"/>
  <c r="O231" i="33" s="1"/>
  <c r="AH8" i="28"/>
  <c r="AG8" i="28"/>
  <c r="Z8" i="28"/>
  <c r="BN8" i="28" s="1"/>
  <c r="Y8" i="28"/>
  <c r="BG8" i="28" s="1"/>
  <c r="K14" i="36" l="1"/>
  <c r="M14" i="36"/>
  <c r="L14" i="36"/>
  <c r="N14" i="36"/>
  <c r="J14" i="36"/>
  <c r="AW9" i="28"/>
  <c r="AC9" i="28"/>
  <c r="AJ8" i="28"/>
  <c r="BD8" i="28"/>
  <c r="AJ9" i="28"/>
  <c r="AC8" i="28"/>
  <c r="AT8" i="28"/>
  <c r="AM9" i="28"/>
  <c r="AW8" i="28"/>
  <c r="AM8" i="28"/>
  <c r="BD9" i="28"/>
  <c r="AT9" i="28"/>
  <c r="CL132" i="3" l="1"/>
  <c r="CK132" i="3"/>
  <c r="AF189" i="33" s="1"/>
  <c r="AG189" i="33" s="1"/>
  <c r="CJ132" i="3"/>
  <c r="CI132" i="3"/>
  <c r="Y189" i="33" s="1"/>
  <c r="CH132" i="3"/>
  <c r="CG132" i="3"/>
  <c r="R189" i="33" s="1"/>
  <c r="CF132" i="3"/>
  <c r="CE132" i="3"/>
  <c r="K189" i="33" s="1"/>
  <c r="CB132" i="3"/>
  <c r="AH189" i="33" s="1"/>
  <c r="AI189" i="33" s="1"/>
  <c r="CA132" i="3"/>
  <c r="BZ132" i="3"/>
  <c r="BR132" i="3"/>
  <c r="AA189" i="33" s="1"/>
  <c r="AB189" i="33" s="1"/>
  <c r="BQ132" i="3"/>
  <c r="BP132" i="3"/>
  <c r="BH132" i="3"/>
  <c r="T189" i="33" s="1"/>
  <c r="U189" i="33" s="1"/>
  <c r="BG132" i="3"/>
  <c r="BF132" i="3"/>
  <c r="AX132" i="3"/>
  <c r="M189" i="33" s="1"/>
  <c r="N189" i="33" s="1"/>
  <c r="AW132" i="3"/>
  <c r="AV132" i="3"/>
  <c r="AO132" i="3"/>
  <c r="BS132" i="3" s="1"/>
  <c r="AN132" i="3"/>
  <c r="BV132" i="3" s="1"/>
  <c r="CK131" i="3"/>
  <c r="AF188" i="33" s="1"/>
  <c r="AG188" i="33" s="1"/>
  <c r="CI131" i="3"/>
  <c r="Y188" i="33" s="1"/>
  <c r="Z188" i="33" s="1"/>
  <c r="CG131" i="3"/>
  <c r="R188" i="33" s="1"/>
  <c r="S188" i="33" s="1"/>
  <c r="CE131" i="3"/>
  <c r="K188" i="33" s="1"/>
  <c r="L188" i="33" s="1"/>
  <c r="CB131" i="3"/>
  <c r="AH188" i="33" s="1"/>
  <c r="AI188" i="33" s="1"/>
  <c r="BZ131" i="3"/>
  <c r="CL131" i="3"/>
  <c r="BR131" i="3"/>
  <c r="AA188" i="33" s="1"/>
  <c r="AB188" i="33" s="1"/>
  <c r="AC188" i="33" s="1"/>
  <c r="BP131" i="3"/>
  <c r="BH131" i="3"/>
  <c r="T188" i="33" s="1"/>
  <c r="U188" i="33" s="1"/>
  <c r="V188" i="33" s="1"/>
  <c r="BF131" i="3"/>
  <c r="AX131" i="3"/>
  <c r="M188" i="33" s="1"/>
  <c r="AV131" i="3"/>
  <c r="AW131" i="3"/>
  <c r="AO131" i="3"/>
  <c r="CC131" i="3" s="1"/>
  <c r="AN131" i="3"/>
  <c r="BB131" i="3" s="1"/>
  <c r="CK130" i="3"/>
  <c r="AF187" i="33" s="1"/>
  <c r="CI130" i="3"/>
  <c r="Y187" i="33" s="1"/>
  <c r="Z187" i="33" s="1"/>
  <c r="CG130" i="3"/>
  <c r="R187" i="33" s="1"/>
  <c r="CE130" i="3"/>
  <c r="K187" i="33" s="1"/>
  <c r="L187" i="33" s="1"/>
  <c r="CB130" i="3"/>
  <c r="AH187" i="33" s="1"/>
  <c r="AI187" i="33" s="1"/>
  <c r="BZ130" i="3"/>
  <c r="CL130" i="3"/>
  <c r="BR130" i="3"/>
  <c r="AA187" i="33" s="1"/>
  <c r="AB187" i="33" s="1"/>
  <c r="AC187" i="33" s="1"/>
  <c r="BP130" i="3"/>
  <c r="BQ130" i="3"/>
  <c r="BH130" i="3"/>
  <c r="T187" i="33" s="1"/>
  <c r="U187" i="33" s="1"/>
  <c r="V187" i="33" s="1"/>
  <c r="BF130" i="3"/>
  <c r="AX130" i="3"/>
  <c r="M187" i="33" s="1"/>
  <c r="AW130" i="3"/>
  <c r="AV130" i="3"/>
  <c r="CF130" i="3"/>
  <c r="AO130" i="3"/>
  <c r="CC130" i="3" s="1"/>
  <c r="AN130" i="3"/>
  <c r="AR130" i="3" s="1"/>
  <c r="CK129" i="3"/>
  <c r="AF186" i="33" s="1"/>
  <c r="AG186" i="33" s="1"/>
  <c r="CI129" i="3"/>
  <c r="Y186" i="33" s="1"/>
  <c r="Z186" i="33" s="1"/>
  <c r="CG129" i="3"/>
  <c r="R186" i="33" s="1"/>
  <c r="S186" i="33" s="1"/>
  <c r="CE129" i="3"/>
  <c r="K186" i="33" s="1"/>
  <c r="CB129" i="3"/>
  <c r="AH186" i="33" s="1"/>
  <c r="AI186" i="33" s="1"/>
  <c r="BZ129" i="3"/>
  <c r="BR129" i="3"/>
  <c r="AA186" i="33" s="1"/>
  <c r="AB186" i="33" s="1"/>
  <c r="AC186" i="33" s="1"/>
  <c r="BP129" i="3"/>
  <c r="BQ129" i="3"/>
  <c r="BH129" i="3"/>
  <c r="T186" i="33" s="1"/>
  <c r="U186" i="33" s="1"/>
  <c r="V186" i="33" s="1"/>
  <c r="BF129" i="3"/>
  <c r="AX129" i="3"/>
  <c r="M186" i="33" s="1"/>
  <c r="N186" i="33" s="1"/>
  <c r="AV129" i="3"/>
  <c r="AO129" i="3"/>
  <c r="AY129" i="3" s="1"/>
  <c r="AN129" i="3"/>
  <c r="BV129" i="3" s="1"/>
  <c r="CK128" i="3"/>
  <c r="AF185" i="33" s="1"/>
  <c r="AG185" i="33" s="1"/>
  <c r="CI128" i="3"/>
  <c r="Y185" i="33" s="1"/>
  <c r="Z185" i="33" s="1"/>
  <c r="CG128" i="3"/>
  <c r="R185" i="33" s="1"/>
  <c r="CE128" i="3"/>
  <c r="K185" i="33" s="1"/>
  <c r="CB128" i="3"/>
  <c r="AH185" i="33" s="1"/>
  <c r="AI185" i="33" s="1"/>
  <c r="BZ128" i="3"/>
  <c r="BR128" i="3"/>
  <c r="AA185" i="33" s="1"/>
  <c r="AB185" i="33" s="1"/>
  <c r="AC185" i="33" s="1"/>
  <c r="BP128" i="3"/>
  <c r="BH128" i="3"/>
  <c r="T185" i="33" s="1"/>
  <c r="U185" i="33" s="1"/>
  <c r="BF128" i="3"/>
  <c r="CH128" i="3"/>
  <c r="AX128" i="3"/>
  <c r="M185" i="33" s="1"/>
  <c r="N185" i="33" s="1"/>
  <c r="AV128" i="3"/>
  <c r="AO128" i="3"/>
  <c r="AN128" i="3"/>
  <c r="BB128" i="3" s="1"/>
  <c r="CK127" i="3"/>
  <c r="AF184" i="33" s="1"/>
  <c r="AG184" i="33" s="1"/>
  <c r="CI127" i="3"/>
  <c r="Y184" i="33" s="1"/>
  <c r="Z184" i="33" s="1"/>
  <c r="CG127" i="3"/>
  <c r="R184" i="33" s="1"/>
  <c r="S184" i="33" s="1"/>
  <c r="CE127" i="3"/>
  <c r="K184" i="33" s="1"/>
  <c r="L184" i="33" s="1"/>
  <c r="CB127" i="3"/>
  <c r="AH184" i="33" s="1"/>
  <c r="AI184" i="33" s="1"/>
  <c r="BZ127" i="3"/>
  <c r="CL127" i="3"/>
  <c r="BR127" i="3"/>
  <c r="AA184" i="33" s="1"/>
  <c r="AB184" i="33" s="1"/>
  <c r="AC184" i="33" s="1"/>
  <c r="BP127" i="3"/>
  <c r="BQ127" i="3"/>
  <c r="BH127" i="3"/>
  <c r="T184" i="33" s="1"/>
  <c r="U184" i="33" s="1"/>
  <c r="V184" i="33" s="1"/>
  <c r="BF127" i="3"/>
  <c r="AX127" i="3"/>
  <c r="M184" i="33" s="1"/>
  <c r="AV127" i="3"/>
  <c r="AO127" i="3"/>
  <c r="BS127" i="3" s="1"/>
  <c r="AN127" i="3"/>
  <c r="AR127" i="3" s="1"/>
  <c r="CK126" i="3"/>
  <c r="AF183" i="33" s="1"/>
  <c r="AG183" i="33" s="1"/>
  <c r="CI126" i="3"/>
  <c r="Y183" i="33" s="1"/>
  <c r="Z183" i="33" s="1"/>
  <c r="CG126" i="3"/>
  <c r="R183" i="33" s="1"/>
  <c r="S183" i="33" s="1"/>
  <c r="CE126" i="3"/>
  <c r="K183" i="33" s="1"/>
  <c r="L183" i="33" s="1"/>
  <c r="CB126" i="3"/>
  <c r="AH183" i="33" s="1"/>
  <c r="AI183" i="33" s="1"/>
  <c r="BZ126" i="3"/>
  <c r="BR126" i="3"/>
  <c r="AA183" i="33" s="1"/>
  <c r="AB183" i="33" s="1"/>
  <c r="AC183" i="33" s="1"/>
  <c r="BP126" i="3"/>
  <c r="BQ126" i="3"/>
  <c r="BH126" i="3"/>
  <c r="T183" i="33" s="1"/>
  <c r="U183" i="33" s="1"/>
  <c r="V183" i="33" s="1"/>
  <c r="BF126" i="3"/>
  <c r="AX126" i="3"/>
  <c r="M183" i="33" s="1"/>
  <c r="AV126" i="3"/>
  <c r="AO126" i="3"/>
  <c r="AY126" i="3" s="1"/>
  <c r="AN126" i="3"/>
  <c r="BV126" i="3" s="1"/>
  <c r="CK125" i="3"/>
  <c r="AF182" i="33" s="1"/>
  <c r="AG182" i="33" s="1"/>
  <c r="CI125" i="3"/>
  <c r="Y182" i="33" s="1"/>
  <c r="Z182" i="33" s="1"/>
  <c r="CG125" i="3"/>
  <c r="R182" i="33" s="1"/>
  <c r="S182" i="33" s="1"/>
  <c r="CE125" i="3"/>
  <c r="K182" i="33" s="1"/>
  <c r="L182" i="33" s="1"/>
  <c r="CB125" i="3"/>
  <c r="AH182" i="33" s="1"/>
  <c r="AI182" i="33" s="1"/>
  <c r="BZ125" i="3"/>
  <c r="BR125" i="3"/>
  <c r="AA182" i="33" s="1"/>
  <c r="AB182" i="33" s="1"/>
  <c r="AC182" i="33" s="1"/>
  <c r="BP125" i="3"/>
  <c r="BH125" i="3"/>
  <c r="T182" i="33" s="1"/>
  <c r="U182" i="33" s="1"/>
  <c r="V182" i="33" s="1"/>
  <c r="BF125" i="3"/>
  <c r="AX125" i="3"/>
  <c r="M182" i="33" s="1"/>
  <c r="AV125" i="3"/>
  <c r="AO125" i="3"/>
  <c r="AN125" i="3"/>
  <c r="BB125" i="3" s="1"/>
  <c r="CK124" i="3"/>
  <c r="AF352" i="33" s="1"/>
  <c r="AG352" i="33" s="1"/>
  <c r="CI124" i="3"/>
  <c r="Y352" i="33" s="1"/>
  <c r="Y360" i="33" s="1"/>
  <c r="Z360" i="33" s="1"/>
  <c r="AE9" i="34" s="1"/>
  <c r="CG124" i="3"/>
  <c r="R352" i="33" s="1"/>
  <c r="R360" i="33" s="1"/>
  <c r="CE124" i="3"/>
  <c r="K352" i="33" s="1"/>
  <c r="K360" i="33" s="1"/>
  <c r="CB124" i="3"/>
  <c r="AH352" i="33" s="1"/>
  <c r="AH360" i="33" s="1"/>
  <c r="BZ124" i="3"/>
  <c r="CL124" i="3"/>
  <c r="BR124" i="3"/>
  <c r="AA352" i="33" s="1"/>
  <c r="AA360" i="33" s="1"/>
  <c r="AB360" i="33" s="1"/>
  <c r="BP124" i="3"/>
  <c r="BH124" i="3"/>
  <c r="T352" i="33" s="1"/>
  <c r="T360" i="33" s="1"/>
  <c r="U360" i="33" s="1"/>
  <c r="BF124" i="3"/>
  <c r="AX124" i="3"/>
  <c r="M352" i="33" s="1"/>
  <c r="AV124" i="3"/>
  <c r="AO124" i="3"/>
  <c r="BS124" i="3" s="1"/>
  <c r="AN124" i="3"/>
  <c r="BB124" i="3" s="1"/>
  <c r="S360" i="33" l="1"/>
  <c r="Q9" i="34" s="1"/>
  <c r="AP7" i="38"/>
  <c r="L360" i="33"/>
  <c r="C9" i="34" s="1"/>
  <c r="N182" i="33"/>
  <c r="O182" i="33" s="1"/>
  <c r="N352" i="33"/>
  <c r="M360" i="33"/>
  <c r="N360" i="33" s="1"/>
  <c r="N184" i="33"/>
  <c r="O184" i="33" s="1"/>
  <c r="N187" i="33"/>
  <c r="O187" i="33" s="1"/>
  <c r="AI9" i="34"/>
  <c r="AJ9" i="34"/>
  <c r="AF9" i="34"/>
  <c r="AH9" i="34"/>
  <c r="AG9" i="34"/>
  <c r="N188" i="33"/>
  <c r="O188" i="33" s="1"/>
  <c r="N183" i="33"/>
  <c r="O183" i="33" s="1"/>
  <c r="L352" i="33"/>
  <c r="C7" i="38" s="1"/>
  <c r="AI352" i="33"/>
  <c r="AI360" i="33" s="1"/>
  <c r="AY9" i="34" s="1"/>
  <c r="U352" i="33"/>
  <c r="Z352" i="33"/>
  <c r="AB352" i="33"/>
  <c r="S352" i="33"/>
  <c r="AR128" i="3"/>
  <c r="BI124" i="3"/>
  <c r="BV125" i="3"/>
  <c r="AR125" i="3"/>
  <c r="CC132" i="3"/>
  <c r="BV128" i="3"/>
  <c r="AY124" i="3"/>
  <c r="AY127" i="3"/>
  <c r="AR132" i="3"/>
  <c r="AY130" i="3"/>
  <c r="BI132" i="3"/>
  <c r="BL128" i="3"/>
  <c r="BL132" i="3"/>
  <c r="AY132" i="3"/>
  <c r="BL125" i="3"/>
  <c r="BB132" i="3"/>
  <c r="BI127" i="3"/>
  <c r="AR124" i="3"/>
  <c r="BS131" i="3"/>
  <c r="BI130" i="3"/>
  <c r="BI131" i="3"/>
  <c r="BS130" i="3"/>
  <c r="CJ128" i="3"/>
  <c r="BQ128" i="3"/>
  <c r="CL129" i="3"/>
  <c r="CA129" i="3"/>
  <c r="CJ125" i="3"/>
  <c r="BQ125" i="3"/>
  <c r="CA126" i="3"/>
  <c r="CL126" i="3"/>
  <c r="CJ129" i="3"/>
  <c r="BV124" i="3"/>
  <c r="BL126" i="3"/>
  <c r="BV127" i="3"/>
  <c r="BL129" i="3"/>
  <c r="BV130" i="3"/>
  <c r="AR131" i="3"/>
  <c r="CJ126" i="3"/>
  <c r="BL124" i="3"/>
  <c r="BB126" i="3"/>
  <c r="BL127" i="3"/>
  <c r="BB129" i="3"/>
  <c r="BL130" i="3"/>
  <c r="BV131" i="3"/>
  <c r="CC128" i="3"/>
  <c r="CF131" i="3"/>
  <c r="CA124" i="3"/>
  <c r="BS125" i="3"/>
  <c r="CC126" i="3"/>
  <c r="CA127" i="3"/>
  <c r="CJ127" i="3"/>
  <c r="BG128" i="3"/>
  <c r="BS128" i="3"/>
  <c r="CC129" i="3"/>
  <c r="CA130" i="3"/>
  <c r="CJ130" i="3"/>
  <c r="AR126" i="3"/>
  <c r="BB127" i="3"/>
  <c r="AR129" i="3"/>
  <c r="BB130" i="3"/>
  <c r="BL131" i="3"/>
  <c r="CC124" i="3"/>
  <c r="BI125" i="3"/>
  <c r="BS126" i="3"/>
  <c r="CC127" i="3"/>
  <c r="BI128" i="3"/>
  <c r="BS129" i="3"/>
  <c r="AY131" i="3"/>
  <c r="CA131" i="3"/>
  <c r="CC125" i="3"/>
  <c r="AY125" i="3"/>
  <c r="BI126" i="3"/>
  <c r="AY128" i="3"/>
  <c r="BI129" i="3"/>
  <c r="U9" i="34" l="1"/>
  <c r="V9" i="34"/>
  <c r="R9" i="34"/>
  <c r="S9" i="34"/>
  <c r="T9" i="34"/>
  <c r="H7" i="38"/>
  <c r="D7" i="38"/>
  <c r="G7" i="38"/>
  <c r="F7" i="38"/>
  <c r="E7" i="38"/>
  <c r="AS7" i="38"/>
  <c r="AR7" i="38"/>
  <c r="AT7" i="38"/>
  <c r="AQ7" i="38"/>
  <c r="AU7" i="38"/>
  <c r="H9" i="34"/>
  <c r="F9" i="34"/>
  <c r="E9" i="34"/>
  <c r="G9" i="34"/>
  <c r="D9" i="34"/>
  <c r="BD9" i="34"/>
  <c r="BC9" i="34"/>
  <c r="BB9" i="34"/>
  <c r="AZ9" i="34"/>
  <c r="BA9" i="34"/>
  <c r="AC352" i="33"/>
  <c r="AC360" i="33" s="1"/>
  <c r="AK9" i="34" s="1"/>
  <c r="V352" i="33"/>
  <c r="O352" i="33"/>
  <c r="O360" i="33" s="1"/>
  <c r="I9" i="34" s="1"/>
  <c r="AW125" i="3"/>
  <c r="CF125" i="3"/>
  <c r="CF124" i="3"/>
  <c r="AW124" i="3"/>
  <c r="AW129" i="3"/>
  <c r="CF129" i="3"/>
  <c r="AW128" i="3"/>
  <c r="CF128" i="3"/>
  <c r="CA128" i="3"/>
  <c r="CL128" i="3"/>
  <c r="AW126" i="3"/>
  <c r="CF126" i="3"/>
  <c r="BG127" i="3"/>
  <c r="CH127" i="3"/>
  <c r="BG124" i="3"/>
  <c r="CH124" i="3"/>
  <c r="BG131" i="3"/>
  <c r="CH131" i="3"/>
  <c r="CA125" i="3"/>
  <c r="CL125" i="3"/>
  <c r="CH129" i="3"/>
  <c r="BG129" i="3"/>
  <c r="BQ124" i="3"/>
  <c r="CJ124" i="3"/>
  <c r="CH125" i="3"/>
  <c r="BG125" i="3"/>
  <c r="CF127" i="3"/>
  <c r="AW127" i="3"/>
  <c r="BQ131" i="3"/>
  <c r="CJ131" i="3"/>
  <c r="CH126" i="3"/>
  <c r="BG126" i="3"/>
  <c r="BG130" i="3"/>
  <c r="CH130" i="3"/>
  <c r="I7" i="38" l="1"/>
  <c r="N7" i="38" s="1"/>
  <c r="V360" i="33"/>
  <c r="W9" i="34" s="1"/>
  <c r="Y9" i="34" s="1"/>
  <c r="AN9" i="34"/>
  <c r="AO9" i="34"/>
  <c r="AL9" i="34"/>
  <c r="AM9" i="34"/>
  <c r="AP9" i="34"/>
  <c r="N9" i="34"/>
  <c r="M9" i="34"/>
  <c r="K9" i="34"/>
  <c r="J9" i="34"/>
  <c r="L9" i="34"/>
  <c r="BY31" i="27"/>
  <c r="AF28" i="33" s="1"/>
  <c r="AG28" i="33" s="1"/>
  <c r="BX31" i="27"/>
  <c r="BW31" i="27"/>
  <c r="Y28" i="33" s="1"/>
  <c r="Z28" i="33" s="1"/>
  <c r="BV31" i="27"/>
  <c r="BU31" i="27"/>
  <c r="R28" i="33" s="1"/>
  <c r="S28" i="33" s="1"/>
  <c r="BT31" i="27"/>
  <c r="BS31" i="27"/>
  <c r="K28" i="33" s="1"/>
  <c r="L28" i="33" s="1"/>
  <c r="BR31" i="27"/>
  <c r="BX30" i="27"/>
  <c r="BV30" i="27"/>
  <c r="BT30" i="27"/>
  <c r="BR30" i="27"/>
  <c r="BP31" i="27"/>
  <c r="AH28" i="33" s="1"/>
  <c r="AI28" i="33" s="1"/>
  <c r="BO31" i="27"/>
  <c r="BN31" i="27"/>
  <c r="BM31" i="27"/>
  <c r="BO30" i="27"/>
  <c r="BM30" i="27"/>
  <c r="BF31" i="27"/>
  <c r="BE31" i="27"/>
  <c r="BD31" i="27"/>
  <c r="X28" i="33" s="1"/>
  <c r="BC31" i="27"/>
  <c r="BE30" i="27"/>
  <c r="BC30" i="27"/>
  <c r="AV31" i="27"/>
  <c r="T28" i="33" s="1"/>
  <c r="U28" i="33" s="1"/>
  <c r="V28" i="33" s="1"/>
  <c r="AU31" i="27"/>
  <c r="AT31" i="27"/>
  <c r="AS31" i="27"/>
  <c r="AU30" i="27"/>
  <c r="AS30" i="27"/>
  <c r="AL31" i="27"/>
  <c r="AK31" i="27"/>
  <c r="AJ31" i="27"/>
  <c r="J28" i="33" s="1"/>
  <c r="AI31" i="27"/>
  <c r="AK30" i="27"/>
  <c r="AO14" i="27"/>
  <c r="CE140" i="3"/>
  <c r="K292" i="33" s="1"/>
  <c r="CB140" i="3"/>
  <c r="AH292" i="33" s="1"/>
  <c r="AI292" i="33" s="1"/>
  <c r="BZ140" i="3"/>
  <c r="BR140" i="3"/>
  <c r="AA292" i="33" s="1"/>
  <c r="AB292" i="33" s="1"/>
  <c r="AC292" i="33" s="1"/>
  <c r="BP140" i="3"/>
  <c r="BH140" i="3"/>
  <c r="T292" i="33" s="1"/>
  <c r="U292" i="33" s="1"/>
  <c r="BF140" i="3"/>
  <c r="AX140" i="3"/>
  <c r="M292" i="33" s="1"/>
  <c r="N292" i="33" s="1"/>
  <c r="AV140" i="3"/>
  <c r="AO140" i="3"/>
  <c r="AN140" i="3"/>
  <c r="AR140" i="3" s="1"/>
  <c r="M28" i="33" l="1"/>
  <c r="N28" i="33" s="1"/>
  <c r="O28" i="33" s="1"/>
  <c r="AA28" i="33"/>
  <c r="AB28" i="33" s="1"/>
  <c r="AC28" i="33" s="1"/>
  <c r="AE28" i="33"/>
  <c r="Q28" i="33"/>
  <c r="L7" i="38"/>
  <c r="K7" i="38"/>
  <c r="M7" i="38"/>
  <c r="J7" i="38"/>
  <c r="Z9" i="34"/>
  <c r="X9" i="34"/>
  <c r="AA9" i="34"/>
  <c r="AA148" i="33"/>
  <c r="AB148" i="33" s="1"/>
  <c r="AC148" i="33" s="1"/>
  <c r="M147" i="33"/>
  <c r="N147" i="33" s="1"/>
  <c r="O147" i="33" s="1"/>
  <c r="K148" i="33"/>
  <c r="L148" i="33" s="1"/>
  <c r="M148" i="33"/>
  <c r="N148" i="33" s="1"/>
  <c r="O148" i="33" s="1"/>
  <c r="Y147" i="33"/>
  <c r="Z147" i="33" s="1"/>
  <c r="AF148" i="33"/>
  <c r="AG148" i="33" s="1"/>
  <c r="R148" i="33"/>
  <c r="S148" i="33" s="1"/>
  <c r="T148" i="33"/>
  <c r="U148" i="33" s="1"/>
  <c r="V148" i="33" s="1"/>
  <c r="AA147" i="33"/>
  <c r="AB147" i="33" s="1"/>
  <c r="AC147" i="33" s="1"/>
  <c r="R147" i="33"/>
  <c r="S147" i="33" s="1"/>
  <c r="Y148" i="33"/>
  <c r="Z148" i="33" s="1"/>
  <c r="AH148" i="33"/>
  <c r="AI148" i="33" s="1"/>
  <c r="K147" i="33"/>
  <c r="L147" i="33" s="1"/>
  <c r="AF147" i="33"/>
  <c r="AG147" i="33" s="1"/>
  <c r="AH147" i="33"/>
  <c r="AI147" i="33" s="1"/>
  <c r="T147" i="33"/>
  <c r="U147" i="33" s="1"/>
  <c r="V147" i="33" s="1"/>
  <c r="AB9" i="34"/>
  <c r="CC140" i="3"/>
  <c r="AH126" i="33" s="1"/>
  <c r="AI126" i="33" s="1"/>
  <c r="AS140" i="3"/>
  <c r="BS140" i="3"/>
  <c r="AA126" i="33" s="1"/>
  <c r="AB126" i="33" s="1"/>
  <c r="AC126" i="33" s="1"/>
  <c r="AY140" i="3"/>
  <c r="M126" i="33" s="1"/>
  <c r="N126" i="33" s="1"/>
  <c r="BI140" i="3"/>
  <c r="T126" i="33" s="1"/>
  <c r="U126" i="33" s="1"/>
  <c r="BI14" i="27"/>
  <c r="AY14" i="27"/>
  <c r="AE14" i="27"/>
  <c r="BV140" i="3"/>
  <c r="BB140" i="3"/>
  <c r="BL140" i="3"/>
  <c r="CM140" i="3" l="1"/>
  <c r="AW140" i="3"/>
  <c r="J126" i="33" s="1"/>
  <c r="CF140" i="3"/>
  <c r="K126" i="33" s="1"/>
  <c r="BG140" i="3"/>
  <c r="Q126" i="33" s="1"/>
  <c r="CH140" i="3"/>
  <c r="R126" i="33" s="1"/>
  <c r="BQ140" i="3"/>
  <c r="X126" i="33" s="1"/>
  <c r="CJ140" i="3"/>
  <c r="Y126" i="33" s="1"/>
  <c r="Z126" i="33" s="1"/>
  <c r="CA140" i="3"/>
  <c r="AE126" i="33" s="1"/>
  <c r="CL140" i="3"/>
  <c r="AF126" i="33" s="1"/>
  <c r="AG126" i="33" s="1"/>
  <c r="AB30" i="27"/>
  <c r="AA31" i="27"/>
  <c r="AE31" i="27" s="1"/>
  <c r="AA30" i="27"/>
  <c r="AO30" i="27" s="1"/>
  <c r="AB34" i="27"/>
  <c r="BZ34" i="27" s="1"/>
  <c r="AA34" i="27"/>
  <c r="AB33" i="27"/>
  <c r="BZ33" i="27" s="1"/>
  <c r="AA33" i="27"/>
  <c r="AB32" i="27"/>
  <c r="BZ32" i="27" s="1"/>
  <c r="AA32" i="27"/>
  <c r="BJ30" i="27" l="1"/>
  <c r="AF30" i="27"/>
  <c r="AP30" i="27"/>
  <c r="AZ30" i="27"/>
  <c r="BP30" i="27"/>
  <c r="AV30" i="27"/>
  <c r="BF30" i="27"/>
  <c r="AL30" i="27"/>
  <c r="AY31" i="27"/>
  <c r="AO31" i="27"/>
  <c r="BI31" i="27"/>
  <c r="AE30" i="27"/>
  <c r="BI30" i="27"/>
  <c r="AY30" i="27"/>
  <c r="AH27" i="33" l="1"/>
  <c r="AI27" i="33" s="1"/>
  <c r="T27" i="33"/>
  <c r="U27" i="33" s="1"/>
  <c r="V27" i="33" s="1"/>
  <c r="M27" i="33"/>
  <c r="N27" i="33" s="1"/>
  <c r="O27" i="33" s="1"/>
  <c r="AA27" i="33"/>
  <c r="AB27" i="33" s="1"/>
  <c r="AC27" i="33" s="1"/>
  <c r="BZ30" i="27"/>
  <c r="BU30" i="27"/>
  <c r="AT30" i="27"/>
  <c r="AJ30" i="27"/>
  <c r="BS30" i="27"/>
  <c r="BW30" i="27"/>
  <c r="BD30" i="27"/>
  <c r="BY30" i="27"/>
  <c r="BN30" i="27"/>
  <c r="AB25" i="27"/>
  <c r="AB26" i="27"/>
  <c r="AB27" i="27"/>
  <c r="AL27" i="27" s="1"/>
  <c r="AB28" i="27"/>
  <c r="AB29" i="27"/>
  <c r="AA25" i="27"/>
  <c r="AY25" i="27" s="1"/>
  <c r="AA26" i="27"/>
  <c r="AO26" i="27" s="1"/>
  <c r="AA27" i="27"/>
  <c r="AY27" i="27" s="1"/>
  <c r="AA28" i="27"/>
  <c r="AO28" i="27" s="1"/>
  <c r="AA29" i="27"/>
  <c r="AY29" i="27" s="1"/>
  <c r="AO10" i="3"/>
  <c r="AO14" i="3"/>
  <c r="BM14" i="3" s="1"/>
  <c r="CM14" i="3" s="1"/>
  <c r="AO15" i="3"/>
  <c r="AO16" i="3"/>
  <c r="AO19" i="3"/>
  <c r="AO21" i="3"/>
  <c r="AO22" i="3"/>
  <c r="BM22" i="3" s="1"/>
  <c r="AO23" i="3"/>
  <c r="AO24" i="3"/>
  <c r="AO25" i="3"/>
  <c r="AO26" i="3"/>
  <c r="AO29" i="3"/>
  <c r="AO31" i="3"/>
  <c r="AO35" i="3"/>
  <c r="AO38" i="3"/>
  <c r="AO39" i="3"/>
  <c r="AO121" i="3"/>
  <c r="CM121" i="3" s="1"/>
  <c r="AO122" i="3"/>
  <c r="AO134" i="3"/>
  <c r="BW134" i="3" s="1"/>
  <c r="AO135" i="3"/>
  <c r="AO136" i="3"/>
  <c r="BW136" i="3" s="1"/>
  <c r="AO138" i="3"/>
  <c r="AO139" i="3"/>
  <c r="AO9" i="3"/>
  <c r="AN10" i="3"/>
  <c r="AN14" i="3"/>
  <c r="AN15" i="3"/>
  <c r="AN16" i="3"/>
  <c r="AN19" i="3"/>
  <c r="AN21" i="3"/>
  <c r="AN22" i="3"/>
  <c r="AN23" i="3"/>
  <c r="AN24" i="3"/>
  <c r="AN25" i="3"/>
  <c r="AN26" i="3"/>
  <c r="AN29" i="3"/>
  <c r="BL29" i="3" s="1"/>
  <c r="AN31" i="3"/>
  <c r="AN35" i="3"/>
  <c r="AN38" i="3"/>
  <c r="AN39" i="3"/>
  <c r="AN41" i="3"/>
  <c r="AN121" i="3"/>
  <c r="AN122" i="3"/>
  <c r="AN134" i="3"/>
  <c r="AN135" i="3"/>
  <c r="AN136" i="3"/>
  <c r="BV136" i="3" s="1"/>
  <c r="AN138" i="3"/>
  <c r="AN139" i="3"/>
  <c r="AN9" i="3"/>
  <c r="BY35" i="27"/>
  <c r="BX35" i="27"/>
  <c r="BW35" i="27"/>
  <c r="BV35" i="27"/>
  <c r="BU35" i="27"/>
  <c r="BT35" i="27"/>
  <c r="BS35" i="27"/>
  <c r="BR35" i="27"/>
  <c r="BO35" i="27"/>
  <c r="BN35" i="27"/>
  <c r="BM35" i="27"/>
  <c r="BI35" i="27"/>
  <c r="BE35" i="27"/>
  <c r="BD35" i="27"/>
  <c r="BC35" i="27"/>
  <c r="AY35" i="27"/>
  <c r="AU35" i="27"/>
  <c r="AT35" i="27"/>
  <c r="AS35" i="27"/>
  <c r="R151" i="33" s="1"/>
  <c r="AO35" i="27"/>
  <c r="AK35" i="27"/>
  <c r="AJ35" i="27"/>
  <c r="AI35" i="27"/>
  <c r="AE35" i="27"/>
  <c r="BY34" i="27"/>
  <c r="BX34" i="27"/>
  <c r="BW34" i="27"/>
  <c r="BV34" i="27"/>
  <c r="BU34" i="27"/>
  <c r="BT34" i="27"/>
  <c r="BS34" i="27"/>
  <c r="BR34" i="27"/>
  <c r="BP34" i="27"/>
  <c r="BO34" i="27"/>
  <c r="BN34" i="27"/>
  <c r="BM34" i="27"/>
  <c r="BI34" i="27"/>
  <c r="BF34" i="27"/>
  <c r="BE34" i="27"/>
  <c r="BD34" i="27"/>
  <c r="BC34" i="27"/>
  <c r="AY34" i="27"/>
  <c r="AV34" i="27"/>
  <c r="AU34" i="27"/>
  <c r="AT34" i="27"/>
  <c r="AS34" i="27"/>
  <c r="AO34" i="27"/>
  <c r="AL34" i="27"/>
  <c r="AK34" i="27"/>
  <c r="AJ34" i="27"/>
  <c r="AE34" i="27"/>
  <c r="BY33" i="27"/>
  <c r="BX33" i="27"/>
  <c r="BW33" i="27"/>
  <c r="BV33" i="27"/>
  <c r="BU33" i="27"/>
  <c r="BT33" i="27"/>
  <c r="BS33" i="27"/>
  <c r="BR33" i="27"/>
  <c r="BP33" i="27"/>
  <c r="BO33" i="27"/>
  <c r="BN33" i="27"/>
  <c r="BM33" i="27"/>
  <c r="BI33" i="27"/>
  <c r="BF33" i="27"/>
  <c r="BE33" i="27"/>
  <c r="BD33" i="27"/>
  <c r="BC33" i="27"/>
  <c r="AY33" i="27"/>
  <c r="AV33" i="27"/>
  <c r="AU33" i="27"/>
  <c r="AT33" i="27"/>
  <c r="AS33" i="27"/>
  <c r="AO33" i="27"/>
  <c r="AL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I32" i="27"/>
  <c r="AE32" i="27"/>
  <c r="BX29" i="27"/>
  <c r="BV29" i="27"/>
  <c r="BT29" i="27"/>
  <c r="BR29" i="27"/>
  <c r="BO29" i="27"/>
  <c r="BM29" i="27"/>
  <c r="BE29" i="27"/>
  <c r="BC29" i="27"/>
  <c r="AU29" i="27"/>
  <c r="AS29" i="27"/>
  <c r="AK29" i="27"/>
  <c r="AI29" i="27"/>
  <c r="BX28" i="27"/>
  <c r="BV28" i="27"/>
  <c r="BT28" i="27"/>
  <c r="BR28" i="27"/>
  <c r="BO28" i="27"/>
  <c r="BM28" i="27"/>
  <c r="BE28" i="27"/>
  <c r="BC28" i="27"/>
  <c r="AU28" i="27"/>
  <c r="AS28" i="27"/>
  <c r="AK28" i="27"/>
  <c r="AI28" i="27"/>
  <c r="BX27" i="27"/>
  <c r="BV27" i="27"/>
  <c r="BT27" i="27"/>
  <c r="BR27" i="27"/>
  <c r="BO27" i="27"/>
  <c r="BM27" i="27"/>
  <c r="BE27" i="27"/>
  <c r="BC27" i="27"/>
  <c r="AU27" i="27"/>
  <c r="AS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AI24" i="27"/>
  <c r="S151" i="33" l="1"/>
  <c r="BC135" i="3"/>
  <c r="BM135" i="3"/>
  <c r="BW135" i="3"/>
  <c r="AH206" i="33"/>
  <c r="AI206" i="33" s="1"/>
  <c r="AV8" i="35" s="1"/>
  <c r="AY8" i="35" s="1"/>
  <c r="AH146" i="33"/>
  <c r="AI146" i="33" s="1"/>
  <c r="L207" i="33"/>
  <c r="X27" i="33"/>
  <c r="M206" i="33"/>
  <c r="AA145" i="33"/>
  <c r="N207" i="33"/>
  <c r="O207" i="33" s="1"/>
  <c r="AA208" i="33"/>
  <c r="AB208" i="33" s="1"/>
  <c r="AC208" i="33" s="1"/>
  <c r="M146" i="33"/>
  <c r="N146" i="33" s="1"/>
  <c r="O146" i="33" s="1"/>
  <c r="AA149" i="33"/>
  <c r="AB149" i="33" s="1"/>
  <c r="AC149" i="33" s="1"/>
  <c r="K150" i="33"/>
  <c r="L150" i="33" s="1"/>
  <c r="R209" i="33"/>
  <c r="S209" i="33" s="1"/>
  <c r="Y27" i="33"/>
  <c r="Z27" i="33" s="1"/>
  <c r="M149" i="33"/>
  <c r="N149" i="33" s="1"/>
  <c r="O149" i="33" s="1"/>
  <c r="R206" i="33"/>
  <c r="M151" i="33"/>
  <c r="N151" i="33" s="1"/>
  <c r="O151" i="33" s="1"/>
  <c r="I13" i="35" s="1"/>
  <c r="AA151" i="33"/>
  <c r="AB151" i="33" s="1"/>
  <c r="AC151" i="33" s="1"/>
  <c r="AI13" i="35" s="1"/>
  <c r="AN13" i="35" s="1"/>
  <c r="K27" i="33"/>
  <c r="L27" i="33" s="1"/>
  <c r="K144" i="33"/>
  <c r="AH207" i="33"/>
  <c r="AI207" i="33" s="1"/>
  <c r="Y149" i="33"/>
  <c r="Z149" i="33" s="1"/>
  <c r="K206" i="33"/>
  <c r="Y208" i="33"/>
  <c r="Z208" i="33" s="1"/>
  <c r="T150" i="33"/>
  <c r="U150" i="33" s="1"/>
  <c r="V150" i="33" s="1"/>
  <c r="AH150" i="33"/>
  <c r="AI150" i="33" s="1"/>
  <c r="T206" i="33"/>
  <c r="AH145" i="33"/>
  <c r="T207" i="33"/>
  <c r="U207" i="33" s="1"/>
  <c r="V207" i="33" s="1"/>
  <c r="AH208" i="33"/>
  <c r="AI208" i="33" s="1"/>
  <c r="T146" i="33"/>
  <c r="U146" i="33" s="1"/>
  <c r="V146" i="33" s="1"/>
  <c r="M150" i="33"/>
  <c r="N150" i="33" s="1"/>
  <c r="O150" i="33" s="1"/>
  <c r="Y150" i="33"/>
  <c r="Z150" i="33" s="1"/>
  <c r="T209" i="33"/>
  <c r="U209" i="33" s="1"/>
  <c r="V209" i="33" s="1"/>
  <c r="AF209" i="33"/>
  <c r="AG209" i="33" s="1"/>
  <c r="J27" i="33"/>
  <c r="K151" i="33"/>
  <c r="L151" i="33" s="1"/>
  <c r="C13" i="35" s="1"/>
  <c r="H13" i="35" s="1"/>
  <c r="Y145" i="33"/>
  <c r="AF145" i="33"/>
  <c r="R146" i="33"/>
  <c r="S146" i="33" s="1"/>
  <c r="Y206" i="33"/>
  <c r="Z206" i="33" s="1"/>
  <c r="AC8" i="35" s="1"/>
  <c r="AD8" i="35" s="1"/>
  <c r="T149" i="33"/>
  <c r="U149" i="33" s="1"/>
  <c r="V149" i="33" s="1"/>
  <c r="AF151" i="33"/>
  <c r="AG151" i="33" s="1"/>
  <c r="AP13" i="35" s="1"/>
  <c r="AF27" i="33"/>
  <c r="AG27" i="33" s="1"/>
  <c r="AF150" i="33"/>
  <c r="AG150" i="33" s="1"/>
  <c r="AA209" i="33"/>
  <c r="AB209" i="33" s="1"/>
  <c r="AC209" i="33" s="1"/>
  <c r="Y151" i="33"/>
  <c r="Z151" i="33" s="1"/>
  <c r="AC13" i="35" s="1"/>
  <c r="AF13" i="35" s="1"/>
  <c r="AF208" i="33"/>
  <c r="AG208" i="33" s="1"/>
  <c r="K145" i="33"/>
  <c r="L145" i="33" s="1"/>
  <c r="Y146" i="33"/>
  <c r="Z146" i="33" s="1"/>
  <c r="AA206" i="33"/>
  <c r="AB206" i="33" s="1"/>
  <c r="AC206" i="33" s="1"/>
  <c r="AI8" i="35" s="1"/>
  <c r="M208" i="33"/>
  <c r="N208" i="33" s="1"/>
  <c r="O208" i="33" s="1"/>
  <c r="AA146" i="33"/>
  <c r="AB146" i="33" s="1"/>
  <c r="AC146" i="33" s="1"/>
  <c r="K149" i="33"/>
  <c r="L149" i="33" s="1"/>
  <c r="AA150" i="33"/>
  <c r="AB150" i="33" s="1"/>
  <c r="AC150" i="33" s="1"/>
  <c r="AH209" i="33"/>
  <c r="AI209" i="33" s="1"/>
  <c r="R27" i="33"/>
  <c r="S27" i="33" s="1"/>
  <c r="T145" i="33"/>
  <c r="T208" i="33"/>
  <c r="U208" i="33" s="1"/>
  <c r="V208" i="33" s="1"/>
  <c r="K209" i="33"/>
  <c r="K146" i="33"/>
  <c r="L146" i="33" s="1"/>
  <c r="R149" i="33"/>
  <c r="S149" i="33" s="1"/>
  <c r="K208" i="33"/>
  <c r="L208" i="33" s="1"/>
  <c r="AF149" i="33"/>
  <c r="AG149" i="33" s="1"/>
  <c r="M145" i="33"/>
  <c r="AA207" i="33"/>
  <c r="AB207" i="33" s="1"/>
  <c r="AC207" i="33" s="1"/>
  <c r="AF206" i="33"/>
  <c r="AG206" i="33" s="1"/>
  <c r="AP8" i="35" s="1"/>
  <c r="AR8" i="35" s="1"/>
  <c r="R145" i="33"/>
  <c r="AF207" i="33"/>
  <c r="AG207" i="33" s="1"/>
  <c r="R208" i="33"/>
  <c r="S208" i="33" s="1"/>
  <c r="AF146" i="33"/>
  <c r="AG146" i="33" s="1"/>
  <c r="AH149" i="33"/>
  <c r="AI149" i="33" s="1"/>
  <c r="R150" i="33"/>
  <c r="S150" i="33" s="1"/>
  <c r="M209" i="33"/>
  <c r="N209" i="33" s="1"/>
  <c r="Y209" i="33"/>
  <c r="Z209" i="33" s="1"/>
  <c r="T151" i="33"/>
  <c r="U151" i="33" s="1"/>
  <c r="V151" i="33" s="1"/>
  <c r="V13" i="35" s="1"/>
  <c r="Y13" i="35" s="1"/>
  <c r="AH151" i="33"/>
  <c r="AI151" i="33" s="1"/>
  <c r="AV13" i="35" s="1"/>
  <c r="Q27" i="33"/>
  <c r="AE27" i="33"/>
  <c r="BP27" i="27"/>
  <c r="AV25" i="27"/>
  <c r="BP25" i="27"/>
  <c r="AL25" i="27"/>
  <c r="BF25" i="27"/>
  <c r="BW9" i="3"/>
  <c r="BM9" i="3"/>
  <c r="AP25" i="27"/>
  <c r="AF25" i="27"/>
  <c r="BJ25" i="27"/>
  <c r="AZ25" i="27"/>
  <c r="AV27" i="27"/>
  <c r="BF27" i="27"/>
  <c r="BI26" i="27"/>
  <c r="BC23" i="3"/>
  <c r="AS23" i="3"/>
  <c r="BM23" i="3"/>
  <c r="BW23" i="3"/>
  <c r="BW22" i="3"/>
  <c r="AS39" i="3"/>
  <c r="BC39" i="3"/>
  <c r="BM39" i="3"/>
  <c r="BW39" i="3"/>
  <c r="AS38" i="3"/>
  <c r="BC38" i="3"/>
  <c r="BM38" i="3"/>
  <c r="BQ38" i="3" s="1"/>
  <c r="BW38"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9" i="3"/>
  <c r="BM134" i="3"/>
  <c r="BC134" i="3"/>
  <c r="BC136" i="3"/>
  <c r="BM136" i="3"/>
  <c r="AS136" i="3"/>
  <c r="AS135" i="3"/>
  <c r="BF26" i="27"/>
  <c r="BJ26" i="27"/>
  <c r="AZ26" i="27"/>
  <c r="AP26" i="27"/>
  <c r="AF26" i="27"/>
  <c r="AV29" i="27"/>
  <c r="BJ29" i="27"/>
  <c r="AZ29" i="27"/>
  <c r="AF29" i="27"/>
  <c r="AP29" i="27"/>
  <c r="BF28" i="27"/>
  <c r="BJ28" i="27"/>
  <c r="AZ28" i="27"/>
  <c r="AF28" i="27"/>
  <c r="AP28" i="27"/>
  <c r="BJ27" i="27"/>
  <c r="AZ27" i="27"/>
  <c r="AP27" i="27"/>
  <c r="AF27" i="27"/>
  <c r="AJ27" i="27" s="1"/>
  <c r="AV26" i="27"/>
  <c r="BP26" i="27"/>
  <c r="AL26" i="27"/>
  <c r="AY26" i="27"/>
  <c r="AE26" i="27"/>
  <c r="AO25" i="27"/>
  <c r="BI25" i="27"/>
  <c r="AE25" i="27"/>
  <c r="BC122" i="3"/>
  <c r="AS122" i="3"/>
  <c r="BM122" i="3"/>
  <c r="BW122" i="3"/>
  <c r="AO29" i="27"/>
  <c r="BI29" i="27"/>
  <c r="AE29" i="27"/>
  <c r="BP29" i="27"/>
  <c r="AL29" i="27"/>
  <c r="BF29" i="27"/>
  <c r="AO27" i="27"/>
  <c r="BI27" i="27"/>
  <c r="AE27" i="27"/>
  <c r="AV28" i="27"/>
  <c r="BP28" i="27"/>
  <c r="AL28" i="27"/>
  <c r="BI28" i="27"/>
  <c r="AE28" i="27"/>
  <c r="AY28" i="27"/>
  <c r="BV139" i="3"/>
  <c r="BV138" i="3"/>
  <c r="BV135" i="3"/>
  <c r="BV134" i="3"/>
  <c r="BV122" i="3"/>
  <c r="BV121" i="3"/>
  <c r="BV41" i="3"/>
  <c r="BV39" i="3"/>
  <c r="BV38" i="3"/>
  <c r="BV35" i="3"/>
  <c r="BV31" i="3"/>
  <c r="BV29" i="3"/>
  <c r="BV26" i="3"/>
  <c r="BV25" i="3"/>
  <c r="BV24" i="3"/>
  <c r="BV23" i="3"/>
  <c r="BV22" i="3"/>
  <c r="BV21" i="3"/>
  <c r="BV19" i="3"/>
  <c r="BV16" i="3"/>
  <c r="BV15" i="3"/>
  <c r="BV14" i="3"/>
  <c r="BV10" i="3"/>
  <c r="BV9" i="3"/>
  <c r="BL139" i="3"/>
  <c r="BL138" i="3"/>
  <c r="BL136" i="3"/>
  <c r="BL135" i="3"/>
  <c r="BL134" i="3"/>
  <c r="BL122" i="3"/>
  <c r="BL121" i="3"/>
  <c r="BL41" i="3"/>
  <c r="BL39" i="3"/>
  <c r="BL38" i="3"/>
  <c r="BL35" i="3"/>
  <c r="BL31" i="3"/>
  <c r="BL26" i="3"/>
  <c r="BL25" i="3"/>
  <c r="BL24" i="3"/>
  <c r="BL23" i="3"/>
  <c r="BL22" i="3"/>
  <c r="BL21" i="3"/>
  <c r="BL19" i="3"/>
  <c r="BL16" i="3"/>
  <c r="BL15" i="3"/>
  <c r="BL14" i="3"/>
  <c r="BL10" i="3"/>
  <c r="BL9" i="3"/>
  <c r="BB139" i="3"/>
  <c r="BB138" i="3"/>
  <c r="BB136" i="3"/>
  <c r="BB135" i="3"/>
  <c r="BB134" i="3"/>
  <c r="BB122" i="3"/>
  <c r="BB121" i="3"/>
  <c r="BB41" i="3"/>
  <c r="BB39" i="3"/>
  <c r="BB38" i="3"/>
  <c r="BB35" i="3"/>
  <c r="BB31" i="3"/>
  <c r="BB29" i="3"/>
  <c r="BB26" i="3"/>
  <c r="BB25" i="3"/>
  <c r="BB24" i="3"/>
  <c r="BB23" i="3"/>
  <c r="BB22" i="3"/>
  <c r="BB21" i="3"/>
  <c r="BB19" i="3"/>
  <c r="BB16" i="3"/>
  <c r="BB15" i="3"/>
  <c r="BB14" i="3"/>
  <c r="BB10" i="3"/>
  <c r="BB9" i="3"/>
  <c r="AR139" i="3"/>
  <c r="AR138" i="3"/>
  <c r="AR136" i="3"/>
  <c r="AR135" i="3"/>
  <c r="AR134" i="3"/>
  <c r="AR122" i="3"/>
  <c r="AR121" i="3"/>
  <c r="AR41" i="3"/>
  <c r="AR39" i="3"/>
  <c r="AR38" i="3"/>
  <c r="AR35" i="3"/>
  <c r="AR31" i="3"/>
  <c r="AR29" i="3"/>
  <c r="AR26" i="3"/>
  <c r="AR25" i="3"/>
  <c r="AR24" i="3"/>
  <c r="AR23" i="3"/>
  <c r="AR22" i="3"/>
  <c r="AR21" i="3"/>
  <c r="AR19" i="3"/>
  <c r="AR16" i="3"/>
  <c r="AR15" i="3"/>
  <c r="AR14" i="3"/>
  <c r="AR10" i="3"/>
  <c r="AR9" i="3"/>
  <c r="U82" i="26"/>
  <c r="U83" i="26" s="1"/>
  <c r="U206" i="33" l="1"/>
  <c r="V206" i="33" s="1"/>
  <c r="P13" i="35"/>
  <c r="C7" i="35"/>
  <c r="F7" i="35" s="1"/>
  <c r="S206" i="33"/>
  <c r="P10" i="36" s="1"/>
  <c r="S145" i="33"/>
  <c r="P7" i="35" s="1"/>
  <c r="Z145" i="33"/>
  <c r="AC7" i="35" s="1"/>
  <c r="AE7" i="35" s="1"/>
  <c r="U145" i="33"/>
  <c r="AI145" i="33"/>
  <c r="AV7" i="35" s="1"/>
  <c r="AY7" i="35" s="1"/>
  <c r="AG145" i="33"/>
  <c r="AP8" i="36" s="1"/>
  <c r="AB145" i="33"/>
  <c r="L206" i="33"/>
  <c r="N206" i="33"/>
  <c r="O206" i="33" s="1"/>
  <c r="L144" i="33"/>
  <c r="N145" i="33"/>
  <c r="K13" i="35"/>
  <c r="J13" i="35"/>
  <c r="AZ13" i="35"/>
  <c r="AY13" i="35"/>
  <c r="BA13" i="35"/>
  <c r="AX13" i="35"/>
  <c r="AW13" i="35"/>
  <c r="AU13" i="35"/>
  <c r="AS13" i="35"/>
  <c r="AR13" i="35"/>
  <c r="AT13" i="35"/>
  <c r="AQ13" i="35"/>
  <c r="AM13" i="35"/>
  <c r="E13" i="35"/>
  <c r="L13" i="35"/>
  <c r="M13" i="35"/>
  <c r="AK13" i="35"/>
  <c r="F13" i="35"/>
  <c r="D13" i="35"/>
  <c r="AL13" i="35"/>
  <c r="AH13" i="35"/>
  <c r="AE13" i="35"/>
  <c r="AA13" i="35"/>
  <c r="AG13" i="35"/>
  <c r="AD13" i="35"/>
  <c r="AH8" i="35"/>
  <c r="X13" i="35"/>
  <c r="AW8" i="35"/>
  <c r="Z13" i="35"/>
  <c r="AK8" i="35"/>
  <c r="AJ8" i="35"/>
  <c r="AM8" i="35"/>
  <c r="AN8" i="35"/>
  <c r="T24" i="33"/>
  <c r="U24" i="33" s="1"/>
  <c r="V24" i="33" s="1"/>
  <c r="T22" i="33"/>
  <c r="AJ13" i="35"/>
  <c r="T26" i="33"/>
  <c r="U26" i="33" s="1"/>
  <c r="V26" i="33" s="1"/>
  <c r="AH24" i="33"/>
  <c r="AI24" i="33" s="1"/>
  <c r="AE8" i="35"/>
  <c r="AH23" i="33"/>
  <c r="AI23" i="33" s="1"/>
  <c r="G13" i="35"/>
  <c r="N13" i="35"/>
  <c r="AG8" i="35"/>
  <c r="T23" i="33"/>
  <c r="U23" i="33" s="1"/>
  <c r="V23" i="33" s="1"/>
  <c r="AZ8" i="35"/>
  <c r="W13" i="35"/>
  <c r="AF8" i="35"/>
  <c r="C8" i="36"/>
  <c r="G8" i="36" s="1"/>
  <c r="T25" i="33"/>
  <c r="U25" i="33" s="1"/>
  <c r="V25" i="33" s="1"/>
  <c r="AH22" i="33"/>
  <c r="AI22" i="33" s="1"/>
  <c r="AH26" i="33"/>
  <c r="AI26" i="33" s="1"/>
  <c r="AH25" i="33"/>
  <c r="AI25" i="33" s="1"/>
  <c r="AL8" i="35"/>
  <c r="BA8" i="35"/>
  <c r="AX8" i="35"/>
  <c r="AQ8" i="35"/>
  <c r="AS8" i="35"/>
  <c r="AT8" i="35"/>
  <c r="AU8" i="35"/>
  <c r="M26" i="33"/>
  <c r="N26" i="33" s="1"/>
  <c r="O26" i="33" s="1"/>
  <c r="AA26" i="33"/>
  <c r="AB26" i="33" s="1"/>
  <c r="AC26" i="33" s="1"/>
  <c r="M24" i="33"/>
  <c r="N24" i="33" s="1"/>
  <c r="O24" i="33" s="1"/>
  <c r="AA24" i="33"/>
  <c r="AB24" i="33" s="1"/>
  <c r="AC24" i="33" s="1"/>
  <c r="M25" i="33"/>
  <c r="N25" i="33" s="1"/>
  <c r="O25" i="33" s="1"/>
  <c r="AA25" i="33"/>
  <c r="AB25" i="33" s="1"/>
  <c r="AC25" i="33" s="1"/>
  <c r="M22" i="33"/>
  <c r="AA22" i="33"/>
  <c r="AB22" i="33" s="1"/>
  <c r="AC22" i="33" s="1"/>
  <c r="M23" i="33"/>
  <c r="N23" i="33" s="1"/>
  <c r="O23" i="33" s="1"/>
  <c r="AA23" i="33"/>
  <c r="AB23" i="33" s="1"/>
  <c r="AC23" i="33" s="1"/>
  <c r="BZ27" i="27"/>
  <c r="BZ26" i="27"/>
  <c r="BZ28" i="27"/>
  <c r="BZ25" i="27"/>
  <c r="BZ29" i="27"/>
  <c r="CM134" i="3"/>
  <c r="CM122" i="3"/>
  <c r="CM10" i="3"/>
  <c r="CM15" i="3"/>
  <c r="CM24" i="3"/>
  <c r="CM31" i="3"/>
  <c r="CM136" i="3"/>
  <c r="CM25" i="3"/>
  <c r="CM29" i="3"/>
  <c r="CM22" i="3"/>
  <c r="CM9" i="3"/>
  <c r="CM38" i="3"/>
  <c r="CM21" i="3"/>
  <c r="CM139" i="3"/>
  <c r="CM135" i="3"/>
  <c r="CM138" i="3"/>
  <c r="CM16" i="3"/>
  <c r="CM26" i="3"/>
  <c r="CM19" i="3"/>
  <c r="CM35" i="3"/>
  <c r="CM39" i="3"/>
  <c r="CM23" i="3"/>
  <c r="BD25" i="27"/>
  <c r="BW25" i="27"/>
  <c r="BN25" i="27"/>
  <c r="BY25" i="27"/>
  <c r="BS25" i="27"/>
  <c r="AJ25" i="27"/>
  <c r="BU25" i="27"/>
  <c r="AT25" i="27"/>
  <c r="AL35" i="27"/>
  <c r="BP35" i="27"/>
  <c r="AV35" i="27"/>
  <c r="BF35" i="27"/>
  <c r="BD29" i="27"/>
  <c r="BW29" i="27"/>
  <c r="BU28" i="27"/>
  <c r="AT28" i="27"/>
  <c r="BY29" i="27"/>
  <c r="BN29" i="27"/>
  <c r="BD28" i="27"/>
  <c r="BW28" i="27"/>
  <c r="AJ26" i="27"/>
  <c r="BS26" i="27"/>
  <c r="BS28" i="27"/>
  <c r="AJ28" i="27"/>
  <c r="BS27" i="27"/>
  <c r="BN28" i="27"/>
  <c r="BY28" i="27"/>
  <c r="AT26" i="27"/>
  <c r="BU26" i="27"/>
  <c r="AT27" i="27"/>
  <c r="BU27" i="27"/>
  <c r="BW26" i="27"/>
  <c r="BD26" i="27"/>
  <c r="BW27" i="27"/>
  <c r="BD27" i="27"/>
  <c r="AT29" i="27"/>
  <c r="BU29" i="27"/>
  <c r="BY26" i="27"/>
  <c r="BN26" i="27"/>
  <c r="BY27" i="27"/>
  <c r="BN27" i="27"/>
  <c r="AJ29" i="27"/>
  <c r="BS29" i="27"/>
  <c r="V8" i="35" l="1"/>
  <c r="AA8" i="35" s="1"/>
  <c r="X8" i="35"/>
  <c r="W8" i="35"/>
  <c r="Z8" i="35"/>
  <c r="Q13" i="35"/>
  <c r="R13" i="35"/>
  <c r="U13" i="35"/>
  <c r="T13" i="35"/>
  <c r="S13" i="35"/>
  <c r="P8" i="35"/>
  <c r="U8" i="35" s="1"/>
  <c r="Y8" i="35"/>
  <c r="U22" i="33"/>
  <c r="AC8" i="36"/>
  <c r="AE8" i="36" s="1"/>
  <c r="P8" i="36"/>
  <c r="R8" i="36" s="1"/>
  <c r="N22" i="33"/>
  <c r="O22" i="33" s="1"/>
  <c r="Q7" i="35"/>
  <c r="AV8" i="36"/>
  <c r="BA8" i="36" s="1"/>
  <c r="AC145" i="33"/>
  <c r="V145" i="33"/>
  <c r="AP7" i="35"/>
  <c r="AQ7" i="35" s="1"/>
  <c r="O145" i="33"/>
  <c r="C8" i="35"/>
  <c r="G8" i="35" s="1"/>
  <c r="I8" i="35"/>
  <c r="BA7" i="35"/>
  <c r="AX7" i="35"/>
  <c r="AZ7" i="35"/>
  <c r="AW7" i="35"/>
  <c r="AD7" i="35"/>
  <c r="AG7" i="35"/>
  <c r="AF7" i="35"/>
  <c r="S7" i="35"/>
  <c r="AH7" i="35"/>
  <c r="G7" i="35"/>
  <c r="E7" i="35"/>
  <c r="H7" i="35"/>
  <c r="D7" i="35"/>
  <c r="J26" i="33"/>
  <c r="Y24" i="33"/>
  <c r="Z24" i="33" s="1"/>
  <c r="X25" i="33"/>
  <c r="AU8" i="36"/>
  <c r="AR8" i="36"/>
  <c r="AT8" i="36"/>
  <c r="AS8" i="36"/>
  <c r="AQ8" i="36"/>
  <c r="K26" i="33"/>
  <c r="L26" i="33" s="1"/>
  <c r="X23" i="33"/>
  <c r="J24" i="33"/>
  <c r="Y22" i="33"/>
  <c r="Z22" i="33" s="1"/>
  <c r="Y25" i="33"/>
  <c r="Z25" i="33" s="1"/>
  <c r="K24" i="33"/>
  <c r="L24" i="33" s="1"/>
  <c r="AF26" i="33"/>
  <c r="AG26" i="33" s="1"/>
  <c r="X22" i="33"/>
  <c r="E8" i="36"/>
  <c r="X24" i="33"/>
  <c r="AF23" i="33"/>
  <c r="AG23" i="33" s="1"/>
  <c r="K25" i="33"/>
  <c r="L25" i="33" s="1"/>
  <c r="R25" i="33"/>
  <c r="S25" i="33" s="1"/>
  <c r="R22" i="33"/>
  <c r="F8" i="36"/>
  <c r="AF22" i="33"/>
  <c r="AG22" i="33" s="1"/>
  <c r="Y23" i="33"/>
  <c r="Z23" i="33" s="1"/>
  <c r="J25" i="33"/>
  <c r="K23" i="33"/>
  <c r="L23" i="33" s="1"/>
  <c r="D8" i="36"/>
  <c r="AF25" i="33"/>
  <c r="AG25" i="33" s="1"/>
  <c r="AF24" i="33"/>
  <c r="AG24" i="33" s="1"/>
  <c r="R24" i="33"/>
  <c r="S24" i="33" s="1"/>
  <c r="H8" i="36"/>
  <c r="R26" i="33"/>
  <c r="S26" i="33" s="1"/>
  <c r="R23" i="33"/>
  <c r="S23" i="33" s="1"/>
  <c r="Y26" i="33"/>
  <c r="Z26" i="33" s="1"/>
  <c r="J22" i="33"/>
  <c r="J23" i="33"/>
  <c r="X26" i="33"/>
  <c r="K22" i="33"/>
  <c r="Q22" i="33"/>
  <c r="AE22" i="33"/>
  <c r="Q26" i="33"/>
  <c r="AE26" i="33"/>
  <c r="AE25" i="33"/>
  <c r="Q25" i="33"/>
  <c r="Q23" i="33"/>
  <c r="AE23" i="33"/>
  <c r="Q24" i="33"/>
  <c r="AE24" i="33"/>
  <c r="BF10" i="3"/>
  <c r="R8" i="35" l="1"/>
  <c r="T8" i="35"/>
  <c r="AX8" i="36"/>
  <c r="AY8" i="36"/>
  <c r="S8" i="35"/>
  <c r="Q8" i="35"/>
  <c r="AW8" i="36"/>
  <c r="AG8" i="36"/>
  <c r="AF8" i="36"/>
  <c r="Q8" i="36"/>
  <c r="AD8" i="36"/>
  <c r="T8" i="36"/>
  <c r="L22" i="33"/>
  <c r="R7" i="35"/>
  <c r="V22" i="33"/>
  <c r="U7" i="35"/>
  <c r="U8" i="36"/>
  <c r="S22" i="33"/>
  <c r="AH8" i="36"/>
  <c r="S8" i="36"/>
  <c r="T7" i="35"/>
  <c r="AZ8" i="36"/>
  <c r="AR7" i="35"/>
  <c r="AS7" i="35"/>
  <c r="AU7" i="35"/>
  <c r="V7" i="35"/>
  <c r="V8" i="36"/>
  <c r="AT7" i="35"/>
  <c r="F8" i="35"/>
  <c r="H8" i="35"/>
  <c r="AI8" i="36"/>
  <c r="AI7" i="35"/>
  <c r="D8" i="35"/>
  <c r="E8" i="35"/>
  <c r="I8" i="36"/>
  <c r="I7" i="35"/>
  <c r="J8" i="35"/>
  <c r="N8" i="35"/>
  <c r="K8" i="35"/>
  <c r="L8" i="35"/>
  <c r="M8" i="35"/>
  <c r="AW10" i="3"/>
  <c r="J60" i="33" s="1"/>
  <c r="AV10" i="3"/>
  <c r="AJ7" i="35" l="1"/>
  <c r="AK7" i="35"/>
  <c r="AN7" i="35"/>
  <c r="AM7" i="35"/>
  <c r="AL7" i="35"/>
  <c r="W8" i="36"/>
  <c r="AA8" i="36"/>
  <c r="Y8" i="36"/>
  <c r="X8" i="36"/>
  <c r="Z8" i="36"/>
  <c r="AJ8" i="36"/>
  <c r="AL8" i="36"/>
  <c r="AK8" i="36"/>
  <c r="AN8" i="36"/>
  <c r="AM8" i="36"/>
  <c r="Z7" i="35"/>
  <c r="AA7" i="35"/>
  <c r="X7" i="35"/>
  <c r="W7" i="35"/>
  <c r="Y7" i="35"/>
  <c r="J8" i="36"/>
  <c r="K8" i="36"/>
  <c r="M8" i="36"/>
  <c r="N8" i="36"/>
  <c r="L8" i="36"/>
  <c r="M7" i="35"/>
  <c r="L7" i="35"/>
  <c r="N7" i="35"/>
  <c r="J7" i="35"/>
  <c r="K7" i="35"/>
  <c r="BP10" i="3"/>
  <c r="BZ9" i="3"/>
  <c r="CE9" i="3"/>
  <c r="CB29" i="3"/>
  <c r="CK29" i="3"/>
  <c r="CL29" i="3"/>
  <c r="BH29" i="3"/>
  <c r="BG29" i="3"/>
  <c r="Q47" i="33" s="1"/>
  <c r="BF29" i="3"/>
  <c r="CH29" i="3"/>
  <c r="CF29" i="3"/>
  <c r="CI29" i="3"/>
  <c r="CG29" i="3"/>
  <c r="CE29" i="3"/>
  <c r="AF223" i="33" l="1"/>
  <c r="AG223" i="33" s="1"/>
  <c r="K223" i="33"/>
  <c r="L223" i="33" s="1"/>
  <c r="AH223" i="33"/>
  <c r="AI223" i="33" s="1"/>
  <c r="R223" i="33"/>
  <c r="S223" i="33" s="1"/>
  <c r="Y223" i="33"/>
  <c r="Z223" i="33" s="1"/>
  <c r="T223" i="33"/>
  <c r="U223" i="33" s="1"/>
  <c r="V223" i="33" s="1"/>
  <c r="AF47" i="33"/>
  <c r="K47" i="33"/>
  <c r="R47" i="33"/>
  <c r="K165" i="33"/>
  <c r="AG47" i="33" l="1"/>
  <c r="S47" i="33"/>
  <c r="L47" i="33"/>
  <c r="CL139" i="3" l="1"/>
  <c r="AF129" i="33" s="1"/>
  <c r="AG129" i="33" s="1"/>
  <c r="CK139" i="3"/>
  <c r="AF293" i="33" s="1"/>
  <c r="AG293" i="33" s="1"/>
  <c r="AP15" i="38" s="1"/>
  <c r="CJ139" i="3"/>
  <c r="Y129" i="33" s="1"/>
  <c r="Z129" i="33" s="1"/>
  <c r="CI139" i="3"/>
  <c r="Y293" i="33" s="1"/>
  <c r="CH139" i="3"/>
  <c r="R129" i="33" s="1"/>
  <c r="CG139" i="3"/>
  <c r="R293" i="33" s="1"/>
  <c r="CF139" i="3"/>
  <c r="K129" i="33" s="1"/>
  <c r="CE139" i="3"/>
  <c r="K293" i="33" s="1"/>
  <c r="CL138" i="3"/>
  <c r="AF125" i="33" s="1"/>
  <c r="AG125" i="33" s="1"/>
  <c r="CK138" i="3"/>
  <c r="AF291" i="33" s="1"/>
  <c r="AG291" i="33" s="1"/>
  <c r="CJ138" i="3"/>
  <c r="Y125" i="33" s="1"/>
  <c r="Z125" i="33" s="1"/>
  <c r="CI138" i="3"/>
  <c r="Y291" i="33" s="1"/>
  <c r="CH138" i="3"/>
  <c r="R125" i="33" s="1"/>
  <c r="CG138" i="3"/>
  <c r="R291" i="33" s="1"/>
  <c r="CF138" i="3"/>
  <c r="K125" i="33" s="1"/>
  <c r="CE138" i="3"/>
  <c r="K291" i="33" s="1"/>
  <c r="CL136" i="3"/>
  <c r="AF128" i="33" s="1"/>
  <c r="CK136" i="3"/>
  <c r="CJ136" i="3"/>
  <c r="CI136" i="3"/>
  <c r="Y284" i="33" s="1"/>
  <c r="CH136" i="3"/>
  <c r="CG136" i="3"/>
  <c r="R284" i="33" s="1"/>
  <c r="CF136" i="3"/>
  <c r="K128" i="33" s="1"/>
  <c r="CE136" i="3"/>
  <c r="K284" i="33" s="1"/>
  <c r="CL135" i="3"/>
  <c r="AF127" i="33" s="1"/>
  <c r="AG127" i="33" s="1"/>
  <c r="CK135" i="3"/>
  <c r="AF283" i="33" s="1"/>
  <c r="AG283" i="33" s="1"/>
  <c r="AP16" i="38" s="1"/>
  <c r="CJ135" i="3"/>
  <c r="Y127" i="33" s="1"/>
  <c r="Z127" i="33" s="1"/>
  <c r="CI135" i="3"/>
  <c r="Y283" i="33" s="1"/>
  <c r="CH135" i="3"/>
  <c r="R127" i="33" s="1"/>
  <c r="CG135" i="3"/>
  <c r="R283" i="33" s="1"/>
  <c r="CF135" i="3"/>
  <c r="K127" i="33" s="1"/>
  <c r="CE135" i="3"/>
  <c r="K283" i="33" s="1"/>
  <c r="CL134" i="3"/>
  <c r="CK134" i="3"/>
  <c r="CJ134" i="3"/>
  <c r="CI134" i="3"/>
  <c r="AC10" i="36" s="1"/>
  <c r="CH134" i="3"/>
  <c r="CG134" i="3"/>
  <c r="CF134" i="3"/>
  <c r="K124" i="33" s="1"/>
  <c r="L124" i="33" s="1"/>
  <c r="CE134" i="3"/>
  <c r="K191" i="33" s="1"/>
  <c r="CL122" i="3"/>
  <c r="AF122" i="33" s="1"/>
  <c r="AG122" i="33" s="1"/>
  <c r="CK122" i="3"/>
  <c r="CJ122" i="3"/>
  <c r="Y122" i="33" s="1"/>
  <c r="Z122" i="33" s="1"/>
  <c r="CI122" i="3"/>
  <c r="CH122" i="3"/>
  <c r="R122" i="33" s="1"/>
  <c r="S122" i="33" s="1"/>
  <c r="CG122" i="3"/>
  <c r="CF122" i="3"/>
  <c r="K122" i="33" s="1"/>
  <c r="L122" i="33" s="1"/>
  <c r="CE122" i="3"/>
  <c r="CL121" i="3"/>
  <c r="AF121" i="33" s="1"/>
  <c r="CK121" i="3"/>
  <c r="CJ121" i="3"/>
  <c r="Y121" i="33" s="1"/>
  <c r="Z121" i="33" s="1"/>
  <c r="CI121" i="3"/>
  <c r="CH121" i="3"/>
  <c r="R121" i="33" s="1"/>
  <c r="CG121" i="3"/>
  <c r="CF121" i="3"/>
  <c r="K121" i="33" s="1"/>
  <c r="CE121" i="3"/>
  <c r="CL76" i="3"/>
  <c r="AF87" i="33" s="1"/>
  <c r="CK76" i="3"/>
  <c r="CL56" i="3"/>
  <c r="CK56" i="3"/>
  <c r="CL55" i="3"/>
  <c r="CK55" i="3"/>
  <c r="CL54" i="3"/>
  <c r="CK54" i="3"/>
  <c r="CL53" i="3"/>
  <c r="CK53" i="3"/>
  <c r="CL41" i="3"/>
  <c r="CK41" i="3"/>
  <c r="AF164" i="33" s="1"/>
  <c r="AG164" i="33" s="1"/>
  <c r="CJ41" i="3"/>
  <c r="CI41" i="3"/>
  <c r="Y164" i="33" s="1"/>
  <c r="Z164" i="33" s="1"/>
  <c r="CH41" i="3"/>
  <c r="CG41" i="3"/>
  <c r="R164" i="33" s="1"/>
  <c r="S164" i="33" s="1"/>
  <c r="CF41" i="3"/>
  <c r="CE41" i="3"/>
  <c r="K164" i="33" s="1"/>
  <c r="L164" i="33" s="1"/>
  <c r="CL39" i="3"/>
  <c r="CK39" i="3"/>
  <c r="AF229" i="33" s="1"/>
  <c r="AG229" i="33" s="1"/>
  <c r="CJ39" i="3"/>
  <c r="CI39" i="3"/>
  <c r="Y229" i="33" s="1"/>
  <c r="Z229" i="33" s="1"/>
  <c r="CH39" i="3"/>
  <c r="CG39" i="3"/>
  <c r="R229" i="33" s="1"/>
  <c r="S229" i="33" s="1"/>
  <c r="CF39" i="3"/>
  <c r="CE39" i="3"/>
  <c r="K229" i="33" s="1"/>
  <c r="L229" i="33" s="1"/>
  <c r="CL38" i="3"/>
  <c r="CK38" i="3"/>
  <c r="AF228" i="33" s="1"/>
  <c r="AG228" i="33" s="1"/>
  <c r="CJ38" i="3"/>
  <c r="CI38" i="3"/>
  <c r="Y228" i="33" s="1"/>
  <c r="Z228" i="33" s="1"/>
  <c r="CH38" i="3"/>
  <c r="CG38" i="3"/>
  <c r="R228" i="33" s="1"/>
  <c r="S228" i="33" s="1"/>
  <c r="CF38" i="3"/>
  <c r="CE38" i="3"/>
  <c r="CL35" i="3"/>
  <c r="CK35" i="3"/>
  <c r="CJ35" i="3"/>
  <c r="CI35" i="3"/>
  <c r="CH35" i="3"/>
  <c r="CG35" i="3"/>
  <c r="CF35" i="3"/>
  <c r="K53" i="33" s="1"/>
  <c r="L53" i="33" s="1"/>
  <c r="CE35" i="3"/>
  <c r="CL31" i="3"/>
  <c r="CK31" i="3"/>
  <c r="AF160" i="33" s="1"/>
  <c r="AG160" i="33" s="1"/>
  <c r="CJ31" i="3"/>
  <c r="CI31" i="3"/>
  <c r="Y160" i="33" s="1"/>
  <c r="Z160" i="33" s="1"/>
  <c r="CH31" i="3"/>
  <c r="CG31" i="3"/>
  <c r="R160" i="33" s="1"/>
  <c r="S160" i="33" s="1"/>
  <c r="CF31" i="3"/>
  <c r="CE31" i="3"/>
  <c r="K160" i="33" s="1"/>
  <c r="L160" i="33" s="1"/>
  <c r="CJ29" i="3"/>
  <c r="CL26" i="3"/>
  <c r="CK26" i="3"/>
  <c r="AF159" i="33" s="1"/>
  <c r="CJ26" i="3"/>
  <c r="CI26" i="3"/>
  <c r="Y159" i="33" s="1"/>
  <c r="CH26" i="3"/>
  <c r="CG26" i="3"/>
  <c r="R159" i="33" s="1"/>
  <c r="CF26" i="3"/>
  <c r="CE26" i="3"/>
  <c r="K159" i="33" s="1"/>
  <c r="CL25" i="3"/>
  <c r="CK25" i="3"/>
  <c r="AF220" i="33" s="1"/>
  <c r="AG220" i="33" s="1"/>
  <c r="CJ25" i="3"/>
  <c r="CI25" i="3"/>
  <c r="Y220" i="33" s="1"/>
  <c r="Z220" i="33" s="1"/>
  <c r="CH25" i="3"/>
  <c r="CG25" i="3"/>
  <c r="R220" i="33" s="1"/>
  <c r="S220" i="33" s="1"/>
  <c r="CF25" i="3"/>
  <c r="CE25" i="3"/>
  <c r="K220" i="33" s="1"/>
  <c r="L220" i="33" s="1"/>
  <c r="CL24" i="3"/>
  <c r="CK24" i="3"/>
  <c r="AF219" i="33" s="1"/>
  <c r="AG219" i="33" s="1"/>
  <c r="CJ24" i="3"/>
  <c r="CI24" i="3"/>
  <c r="Y219" i="33" s="1"/>
  <c r="Z219" i="33" s="1"/>
  <c r="CH24" i="3"/>
  <c r="CG24" i="3"/>
  <c r="CF24" i="3"/>
  <c r="CE24" i="3"/>
  <c r="K219" i="33" s="1"/>
  <c r="L219" i="33" s="1"/>
  <c r="CL23" i="3"/>
  <c r="CK23" i="3"/>
  <c r="AF218" i="33" s="1"/>
  <c r="AG218" i="33" s="1"/>
  <c r="CJ23" i="3"/>
  <c r="CI23" i="3"/>
  <c r="Y218" i="33" s="1"/>
  <c r="Z218" i="33" s="1"/>
  <c r="CH23" i="3"/>
  <c r="CG23" i="3"/>
  <c r="R218" i="33" s="1"/>
  <c r="CF23" i="3"/>
  <c r="CE23" i="3"/>
  <c r="K218" i="33" s="1"/>
  <c r="CL22" i="3"/>
  <c r="CK22" i="3"/>
  <c r="CJ22" i="3"/>
  <c r="CI22" i="3"/>
  <c r="CH22" i="3"/>
  <c r="CG22" i="3"/>
  <c r="CF22" i="3"/>
  <c r="CE22" i="3"/>
  <c r="CL21" i="3"/>
  <c r="CK21" i="3"/>
  <c r="AF243" i="33" s="1"/>
  <c r="AG243" i="33" s="1"/>
  <c r="AP12" i="36" s="1"/>
  <c r="CJ21" i="3"/>
  <c r="CI21" i="3"/>
  <c r="Y243" i="33" s="1"/>
  <c r="CH21" i="3"/>
  <c r="CG21" i="3"/>
  <c r="R243" i="33" s="1"/>
  <c r="CF21" i="3"/>
  <c r="CE21" i="3"/>
  <c r="K243" i="33" s="1"/>
  <c r="CL19" i="3"/>
  <c r="CK19" i="3"/>
  <c r="AF241" i="33" s="1"/>
  <c r="CJ19" i="3"/>
  <c r="CI19" i="3"/>
  <c r="Y241" i="33" s="1"/>
  <c r="Z241" i="33" s="1"/>
  <c r="AC12" i="36" s="1"/>
  <c r="CH19" i="3"/>
  <c r="CG19" i="3"/>
  <c r="R241" i="33" s="1"/>
  <c r="S241" i="33" s="1"/>
  <c r="CF19" i="3"/>
  <c r="CE19" i="3"/>
  <c r="K241" i="33" s="1"/>
  <c r="L241" i="33" s="1"/>
  <c r="C12" i="36" s="1"/>
  <c r="CL16" i="3"/>
  <c r="CK16" i="3"/>
  <c r="AF170" i="33" s="1"/>
  <c r="CJ16" i="3"/>
  <c r="CI16" i="3"/>
  <c r="Y170" i="33" s="1"/>
  <c r="Z170" i="33" s="1"/>
  <c r="CH16" i="3"/>
  <c r="CG16" i="3"/>
  <c r="R170" i="33" s="1"/>
  <c r="CF16" i="3"/>
  <c r="CE16" i="3"/>
  <c r="K170" i="33" s="1"/>
  <c r="CL15" i="3"/>
  <c r="CK15" i="3"/>
  <c r="AF169" i="33" s="1"/>
  <c r="CJ15" i="3"/>
  <c r="CI15" i="3"/>
  <c r="Y169" i="33" s="1"/>
  <c r="Z169" i="33" s="1"/>
  <c r="CH15" i="3"/>
  <c r="CG15" i="3"/>
  <c r="R169" i="33" s="1"/>
  <c r="CF15" i="3"/>
  <c r="CE15" i="3"/>
  <c r="K169" i="33" s="1"/>
  <c r="CL14" i="3"/>
  <c r="CK14" i="3"/>
  <c r="AF168" i="33" s="1"/>
  <c r="CJ14" i="3"/>
  <c r="CI14" i="3"/>
  <c r="Y168" i="33" s="1"/>
  <c r="Z168" i="33" s="1"/>
  <c r="CH14" i="3"/>
  <c r="CG14" i="3"/>
  <c r="R168" i="33" s="1"/>
  <c r="CF14" i="3"/>
  <c r="CE14" i="3"/>
  <c r="K168" i="33" s="1"/>
  <c r="CK11" i="3"/>
  <c r="CI11" i="3"/>
  <c r="CG11" i="3"/>
  <c r="CE11" i="3"/>
  <c r="CL10" i="3"/>
  <c r="CK10" i="3"/>
  <c r="CJ10" i="3"/>
  <c r="CI10" i="3"/>
  <c r="CH10" i="3"/>
  <c r="CG10" i="3"/>
  <c r="CF10" i="3"/>
  <c r="CE10" i="3"/>
  <c r="CB139" i="3"/>
  <c r="AH293" i="33" s="1"/>
  <c r="AI293" i="33" s="1"/>
  <c r="AV15" i="38" s="1"/>
  <c r="CA139" i="3"/>
  <c r="AE129" i="33" s="1"/>
  <c r="BZ139" i="3"/>
  <c r="CB138" i="3"/>
  <c r="AH291" i="33" s="1"/>
  <c r="AI291" i="33" s="1"/>
  <c r="CA138" i="3"/>
  <c r="AE125" i="33" s="1"/>
  <c r="BZ138" i="3"/>
  <c r="CB136" i="3"/>
  <c r="CA136" i="3"/>
  <c r="AE128" i="33" s="1"/>
  <c r="BZ136" i="3"/>
  <c r="CB135" i="3"/>
  <c r="AH283" i="33" s="1"/>
  <c r="AI283" i="33" s="1"/>
  <c r="CA135" i="3"/>
  <c r="AE127" i="33" s="1"/>
  <c r="BZ135" i="3"/>
  <c r="CB134" i="3"/>
  <c r="AH191" i="33" s="1"/>
  <c r="AI191" i="33" s="1"/>
  <c r="CA134" i="3"/>
  <c r="AE124" i="33" s="1"/>
  <c r="BZ134" i="3"/>
  <c r="CB122" i="3"/>
  <c r="CA122" i="3"/>
  <c r="AE122" i="33" s="1"/>
  <c r="BZ122" i="3"/>
  <c r="CB121" i="3"/>
  <c r="CA121" i="3"/>
  <c r="AE121" i="33" s="1"/>
  <c r="BZ121" i="3"/>
  <c r="CB41" i="3"/>
  <c r="AH164" i="33" s="1"/>
  <c r="AI164" i="33" s="1"/>
  <c r="CA41" i="3"/>
  <c r="AE58" i="33" s="1"/>
  <c r="BZ41" i="3"/>
  <c r="CB39" i="3"/>
  <c r="AH229" i="33" s="1"/>
  <c r="AI229" i="33" s="1"/>
  <c r="CA39" i="3"/>
  <c r="BZ39" i="3"/>
  <c r="AH228" i="33"/>
  <c r="AI228" i="33" s="1"/>
  <c r="CA38" i="3"/>
  <c r="BZ38" i="3"/>
  <c r="CB35" i="3"/>
  <c r="AH162" i="33" s="1"/>
  <c r="AI162" i="33" s="1"/>
  <c r="CA35" i="3"/>
  <c r="BZ35" i="3"/>
  <c r="CB31" i="3"/>
  <c r="AH160" i="33" s="1"/>
  <c r="AI160" i="33" s="1"/>
  <c r="CA31" i="3"/>
  <c r="AE49" i="33" s="1"/>
  <c r="BZ31" i="3"/>
  <c r="CA29" i="3"/>
  <c r="AE47" i="33" s="1"/>
  <c r="BZ29" i="3"/>
  <c r="CB26" i="3"/>
  <c r="AH159" i="33" s="1"/>
  <c r="CA26" i="3"/>
  <c r="AE44" i="33" s="1"/>
  <c r="BZ26" i="3"/>
  <c r="CB25" i="3"/>
  <c r="AH220" i="33" s="1"/>
  <c r="AI220" i="33" s="1"/>
  <c r="CA25" i="3"/>
  <c r="AE43" i="33" s="1"/>
  <c r="BZ25" i="3"/>
  <c r="CB24" i="3"/>
  <c r="AH219" i="33" s="1"/>
  <c r="AI219" i="33" s="1"/>
  <c r="CA24" i="3"/>
  <c r="AE42" i="33" s="1"/>
  <c r="BZ24" i="3"/>
  <c r="CB23" i="3"/>
  <c r="AH218" i="33" s="1"/>
  <c r="AI218" i="33" s="1"/>
  <c r="CA23" i="3"/>
  <c r="AE41" i="33" s="1"/>
  <c r="BZ23" i="3"/>
  <c r="CB22" i="3"/>
  <c r="CA22" i="3"/>
  <c r="AE40" i="33" s="1"/>
  <c r="BZ22" i="3"/>
  <c r="CB21" i="3"/>
  <c r="AH243" i="33" s="1"/>
  <c r="AI243" i="33" s="1"/>
  <c r="CA21" i="3"/>
  <c r="BZ21" i="3"/>
  <c r="CB19" i="3"/>
  <c r="AH241" i="33" s="1"/>
  <c r="AI241" i="33" s="1"/>
  <c r="CA19" i="3"/>
  <c r="BZ19" i="3"/>
  <c r="CB16" i="3"/>
  <c r="AH170" i="33" s="1"/>
  <c r="AI170" i="33" s="1"/>
  <c r="CA16" i="3"/>
  <c r="BZ16" i="3"/>
  <c r="CB15" i="3"/>
  <c r="AH169" i="33" s="1"/>
  <c r="AI169" i="33" s="1"/>
  <c r="CA15" i="3"/>
  <c r="BZ15" i="3"/>
  <c r="CB14" i="3"/>
  <c r="AH168" i="33" s="1"/>
  <c r="AI168" i="33" s="1"/>
  <c r="CA14" i="3"/>
  <c r="AE65" i="33" s="1"/>
  <c r="BZ14" i="3"/>
  <c r="CB11" i="3"/>
  <c r="AH234" i="33" s="1"/>
  <c r="AI234" i="33" s="1"/>
  <c r="BZ11" i="3"/>
  <c r="BQ10" i="3"/>
  <c r="X60" i="33" s="1"/>
  <c r="BR10" i="3"/>
  <c r="BR11" i="3"/>
  <c r="AA234" i="33" s="1"/>
  <c r="AB234" i="33" s="1"/>
  <c r="AC234" i="33" s="1"/>
  <c r="BR14" i="3"/>
  <c r="AA168" i="33" s="1"/>
  <c r="AB168" i="33" s="1"/>
  <c r="AC168" i="33" s="1"/>
  <c r="BR15" i="3"/>
  <c r="AA169" i="33" s="1"/>
  <c r="AB169" i="33" s="1"/>
  <c r="AC169" i="33" s="1"/>
  <c r="BR16" i="3"/>
  <c r="AA170" i="33" s="1"/>
  <c r="AB170" i="33" s="1"/>
  <c r="AC170" i="33" s="1"/>
  <c r="BR19" i="3"/>
  <c r="AA241" i="33" s="1"/>
  <c r="AB241" i="33" s="1"/>
  <c r="AC241" i="33" s="1"/>
  <c r="AI12" i="36" s="1"/>
  <c r="BR21" i="3"/>
  <c r="AA243" i="33" s="1"/>
  <c r="AB243" i="33" s="1"/>
  <c r="BR22" i="3"/>
  <c r="BR23" i="3"/>
  <c r="AA218" i="33" s="1"/>
  <c r="AB218" i="33" s="1"/>
  <c r="AC218" i="33" s="1"/>
  <c r="BR24" i="3"/>
  <c r="AA219" i="33" s="1"/>
  <c r="AB219" i="33" s="1"/>
  <c r="AC219" i="33" s="1"/>
  <c r="BR25" i="3"/>
  <c r="AA220" i="33" s="1"/>
  <c r="AB220" i="33" s="1"/>
  <c r="AC220" i="33" s="1"/>
  <c r="BR26" i="3"/>
  <c r="AA159" i="33" s="1"/>
  <c r="BR29" i="3"/>
  <c r="BR31" i="3"/>
  <c r="AA160" i="33" s="1"/>
  <c r="AB160" i="33" s="1"/>
  <c r="AC160" i="33" s="1"/>
  <c r="BR35" i="3"/>
  <c r="AA162" i="33" s="1"/>
  <c r="AB162" i="33" s="1"/>
  <c r="AC162" i="33" s="1"/>
  <c r="AA228" i="33"/>
  <c r="AB228" i="33" s="1"/>
  <c r="AC228" i="33" s="1"/>
  <c r="BR39" i="3"/>
  <c r="AA229" i="33" s="1"/>
  <c r="AB229" i="33" s="1"/>
  <c r="AC229" i="33" s="1"/>
  <c r="BR41" i="3"/>
  <c r="AA164" i="33" s="1"/>
  <c r="AB164" i="33" s="1"/>
  <c r="AC164" i="33" s="1"/>
  <c r="BR121" i="3"/>
  <c r="BR122" i="3"/>
  <c r="BR134" i="3"/>
  <c r="BR135" i="3"/>
  <c r="AA283" i="33" s="1"/>
  <c r="AB283" i="33" s="1"/>
  <c r="BR136" i="3"/>
  <c r="BR138" i="3"/>
  <c r="AA291" i="33" s="1"/>
  <c r="AB291" i="33" s="1"/>
  <c r="BR139" i="3"/>
  <c r="AA293" i="33" s="1"/>
  <c r="AB293" i="33" s="1"/>
  <c r="BQ14" i="3"/>
  <c r="X65" i="33" s="1"/>
  <c r="BQ15" i="3"/>
  <c r="BQ16" i="3"/>
  <c r="BQ19" i="3"/>
  <c r="BQ21" i="3"/>
  <c r="BQ22" i="3"/>
  <c r="X40" i="33" s="1"/>
  <c r="BQ23" i="3"/>
  <c r="X41" i="33" s="1"/>
  <c r="BQ24" i="3"/>
  <c r="X42" i="33" s="1"/>
  <c r="BQ25" i="3"/>
  <c r="X43" i="33" s="1"/>
  <c r="BQ26" i="3"/>
  <c r="X44" i="33" s="1"/>
  <c r="BQ29" i="3"/>
  <c r="X47" i="33" s="1"/>
  <c r="BQ31" i="3"/>
  <c r="X49" i="33" s="1"/>
  <c r="BQ35" i="3"/>
  <c r="BQ39" i="3"/>
  <c r="BQ41" i="3"/>
  <c r="X58" i="33" s="1"/>
  <c r="BQ121" i="3"/>
  <c r="X121" i="33" s="1"/>
  <c r="BQ122" i="3"/>
  <c r="X122" i="33" s="1"/>
  <c r="BQ134" i="3"/>
  <c r="X124" i="33" s="1"/>
  <c r="BQ135" i="3"/>
  <c r="X127" i="33" s="1"/>
  <c r="BQ136" i="3"/>
  <c r="X128" i="33" s="1"/>
  <c r="BQ138" i="3"/>
  <c r="X125" i="33" s="1"/>
  <c r="BQ139" i="3"/>
  <c r="X129" i="33" s="1"/>
  <c r="AV11" i="3"/>
  <c r="AV14" i="3"/>
  <c r="AV15" i="3"/>
  <c r="AV16" i="3"/>
  <c r="AV19" i="3"/>
  <c r="AV21" i="3"/>
  <c r="AV22" i="3"/>
  <c r="AV23" i="3"/>
  <c r="AV24" i="3"/>
  <c r="AV25" i="3"/>
  <c r="AV26" i="3"/>
  <c r="AV29" i="3"/>
  <c r="AV31" i="3"/>
  <c r="AV35" i="3"/>
  <c r="AV38" i="3"/>
  <c r="AV39" i="3"/>
  <c r="AV41" i="3"/>
  <c r="AV121" i="3"/>
  <c r="AV122" i="3"/>
  <c r="AV134" i="3"/>
  <c r="AV135" i="3"/>
  <c r="AV136" i="3"/>
  <c r="AV138" i="3"/>
  <c r="AV139" i="3"/>
  <c r="BP11" i="3"/>
  <c r="BP14" i="3"/>
  <c r="BP15" i="3"/>
  <c r="BP16" i="3"/>
  <c r="BP19" i="3"/>
  <c r="BP21" i="3"/>
  <c r="BP22" i="3"/>
  <c r="BP23" i="3"/>
  <c r="BP24" i="3"/>
  <c r="BP25" i="3"/>
  <c r="BP26" i="3"/>
  <c r="BP29" i="3"/>
  <c r="BP31" i="3"/>
  <c r="BP35" i="3"/>
  <c r="BP38" i="3"/>
  <c r="BP39" i="3"/>
  <c r="BP41" i="3"/>
  <c r="BP121" i="3"/>
  <c r="BP122" i="3"/>
  <c r="BP134" i="3"/>
  <c r="BP135" i="3"/>
  <c r="BP136" i="3"/>
  <c r="BP138" i="3"/>
  <c r="BP139" i="3"/>
  <c r="BH10" i="3"/>
  <c r="BH11" i="3"/>
  <c r="T234" i="33" s="1"/>
  <c r="BH14" i="3"/>
  <c r="T168" i="33" s="1"/>
  <c r="U168" i="33" s="1"/>
  <c r="BH15" i="3"/>
  <c r="T169" i="33" s="1"/>
  <c r="U169" i="33" s="1"/>
  <c r="BH16" i="3"/>
  <c r="T170" i="33" s="1"/>
  <c r="U170" i="33" s="1"/>
  <c r="BH19" i="3"/>
  <c r="T241" i="33" s="1"/>
  <c r="U241" i="33" s="1"/>
  <c r="V241" i="33" s="1"/>
  <c r="BH21" i="3"/>
  <c r="T243" i="33" s="1"/>
  <c r="U243" i="33" s="1"/>
  <c r="BH22" i="3"/>
  <c r="BH23" i="3"/>
  <c r="T218" i="33" s="1"/>
  <c r="BH25" i="3"/>
  <c r="T220" i="33" s="1"/>
  <c r="U220" i="33" s="1"/>
  <c r="V220" i="33" s="1"/>
  <c r="BH26" i="3"/>
  <c r="T159" i="33" s="1"/>
  <c r="BH31" i="3"/>
  <c r="T160" i="33" s="1"/>
  <c r="U160" i="33" s="1"/>
  <c r="V160" i="33" s="1"/>
  <c r="BH35" i="3"/>
  <c r="T162" i="33" s="1"/>
  <c r="T228" i="33"/>
  <c r="U228" i="33" s="1"/>
  <c r="V228" i="33" s="1"/>
  <c r="BH39" i="3"/>
  <c r="T229" i="33" s="1"/>
  <c r="U229" i="33" s="1"/>
  <c r="V229" i="33" s="1"/>
  <c r="BH41" i="3"/>
  <c r="T164" i="33" s="1"/>
  <c r="U164" i="33" s="1"/>
  <c r="V164" i="33" s="1"/>
  <c r="BH121" i="3"/>
  <c r="BH122" i="3"/>
  <c r="BH134" i="3"/>
  <c r="BH135" i="3"/>
  <c r="T283" i="33" s="1"/>
  <c r="U283" i="33" s="1"/>
  <c r="BH136" i="3"/>
  <c r="BH138" i="3"/>
  <c r="T291" i="33" s="1"/>
  <c r="U291" i="33" s="1"/>
  <c r="BH139" i="3"/>
  <c r="T293" i="33" s="1"/>
  <c r="U293" i="33" s="1"/>
  <c r="BG10" i="3"/>
  <c r="Q60" i="33" s="1"/>
  <c r="BG14" i="3"/>
  <c r="Q65" i="33" s="1"/>
  <c r="BG15" i="3"/>
  <c r="BG16" i="3"/>
  <c r="BG21" i="3"/>
  <c r="BG22" i="3"/>
  <c r="Q40" i="33" s="1"/>
  <c r="BG23" i="3"/>
  <c r="Q41" i="33" s="1"/>
  <c r="BG24" i="3"/>
  <c r="Q42" i="33" s="1"/>
  <c r="BG25" i="3"/>
  <c r="Q43" i="33" s="1"/>
  <c r="BG26" i="3"/>
  <c r="Q44" i="33" s="1"/>
  <c r="BG31" i="3"/>
  <c r="Q49" i="33" s="1"/>
  <c r="BG35" i="3"/>
  <c r="BG38" i="3"/>
  <c r="BG39" i="3"/>
  <c r="BG41" i="3"/>
  <c r="Q58" i="33" s="1"/>
  <c r="BG121" i="3"/>
  <c r="Q121" i="33" s="1"/>
  <c r="BG122" i="3"/>
  <c r="Q122" i="33" s="1"/>
  <c r="BG134" i="3"/>
  <c r="Q124" i="33" s="1"/>
  <c r="BG135" i="3"/>
  <c r="Q127" i="33" s="1"/>
  <c r="BG136" i="3"/>
  <c r="Q128" i="33" s="1"/>
  <c r="BG138" i="3"/>
  <c r="Q125" i="33" s="1"/>
  <c r="BG139" i="3"/>
  <c r="Q129" i="33" s="1"/>
  <c r="BF11" i="3"/>
  <c r="BF14" i="3"/>
  <c r="BF15" i="3"/>
  <c r="BF16" i="3"/>
  <c r="BF19" i="3"/>
  <c r="BF21" i="3"/>
  <c r="BF22" i="3"/>
  <c r="BF23" i="3"/>
  <c r="BF25" i="3"/>
  <c r="BF26" i="3"/>
  <c r="BF31" i="3"/>
  <c r="BF35" i="3"/>
  <c r="BF38" i="3"/>
  <c r="BF39" i="3"/>
  <c r="BF41" i="3"/>
  <c r="BF121" i="3"/>
  <c r="BF122" i="3"/>
  <c r="BF134" i="3"/>
  <c r="BF135" i="3"/>
  <c r="BF136" i="3"/>
  <c r="BF138" i="3"/>
  <c r="BF139" i="3"/>
  <c r="AX11" i="3"/>
  <c r="M234" i="33" s="1"/>
  <c r="AX14" i="3"/>
  <c r="M168" i="33" s="1"/>
  <c r="N168" i="33" s="1"/>
  <c r="AX15" i="3"/>
  <c r="M169" i="33" s="1"/>
  <c r="N169" i="33" s="1"/>
  <c r="AX16" i="3"/>
  <c r="M170" i="33" s="1"/>
  <c r="N170" i="33" s="1"/>
  <c r="AX19" i="3"/>
  <c r="M241" i="33" s="1"/>
  <c r="AX21" i="3"/>
  <c r="M243" i="33" s="1"/>
  <c r="N243" i="33" s="1"/>
  <c r="AX22" i="3"/>
  <c r="AX23" i="3"/>
  <c r="M218" i="33" s="1"/>
  <c r="AX24" i="3"/>
  <c r="M219" i="33" s="1"/>
  <c r="N219" i="33" s="1"/>
  <c r="O219" i="33" s="1"/>
  <c r="AX25" i="3"/>
  <c r="M220" i="33" s="1"/>
  <c r="N220" i="33" s="1"/>
  <c r="O220" i="33" s="1"/>
  <c r="AX26" i="3"/>
  <c r="M159" i="33" s="1"/>
  <c r="AX29" i="3"/>
  <c r="AX31" i="3"/>
  <c r="M160" i="33" s="1"/>
  <c r="AX35" i="3"/>
  <c r="AX38" i="3"/>
  <c r="AX39" i="3"/>
  <c r="M229" i="33" s="1"/>
  <c r="N229" i="33" s="1"/>
  <c r="O229" i="33" s="1"/>
  <c r="AX41" i="3"/>
  <c r="M164" i="33" s="1"/>
  <c r="AX121" i="3"/>
  <c r="AX122" i="3"/>
  <c r="AX134" i="3"/>
  <c r="M191" i="33" s="1"/>
  <c r="AX135" i="3"/>
  <c r="M283" i="33" s="1"/>
  <c r="N283" i="33" s="1"/>
  <c r="AX136" i="3"/>
  <c r="M284" i="33" s="1"/>
  <c r="N284" i="33" s="1"/>
  <c r="AX138" i="3"/>
  <c r="M291" i="33" s="1"/>
  <c r="N291" i="33" s="1"/>
  <c r="AX139" i="3"/>
  <c r="M293" i="33" s="1"/>
  <c r="N293" i="33" s="1"/>
  <c r="AW14" i="3"/>
  <c r="J65" i="33" s="1"/>
  <c r="AW15" i="3"/>
  <c r="AW16" i="3"/>
  <c r="AW19" i="3"/>
  <c r="AW21" i="3"/>
  <c r="AW22" i="3"/>
  <c r="J40" i="33" s="1"/>
  <c r="AW23" i="3"/>
  <c r="J41" i="33" s="1"/>
  <c r="AW24" i="3"/>
  <c r="J42" i="33" s="1"/>
  <c r="AW25" i="3"/>
  <c r="J43" i="33" s="1"/>
  <c r="AW26" i="3"/>
  <c r="J44" i="33" s="1"/>
  <c r="AW29" i="3"/>
  <c r="J47" i="33" s="1"/>
  <c r="J49" i="33"/>
  <c r="AW35" i="3"/>
  <c r="J53" i="33" s="1"/>
  <c r="AW38" i="3"/>
  <c r="AW39" i="3"/>
  <c r="AW41" i="3"/>
  <c r="J58" i="33" s="1"/>
  <c r="AW121" i="3"/>
  <c r="J121" i="33" s="1"/>
  <c r="AW122" i="3"/>
  <c r="J122" i="33" s="1"/>
  <c r="AW134" i="3"/>
  <c r="J124" i="33" s="1"/>
  <c r="AW135" i="3"/>
  <c r="J127" i="33" s="1"/>
  <c r="AW136" i="3"/>
  <c r="J128" i="33" s="1"/>
  <c r="AW138" i="3"/>
  <c r="J125" i="33" s="1"/>
  <c r="AW139" i="3"/>
  <c r="J129" i="33" s="1"/>
  <c r="CL9" i="3"/>
  <c r="AF59" i="33" s="1"/>
  <c r="CK9" i="3"/>
  <c r="CJ9" i="3"/>
  <c r="Y59" i="33" s="1"/>
  <c r="CI9" i="3"/>
  <c r="CH9" i="3"/>
  <c r="R59" i="33" s="1"/>
  <c r="CF9" i="3"/>
  <c r="K59" i="33" s="1"/>
  <c r="CG9" i="3"/>
  <c r="CB9" i="3"/>
  <c r="CA9" i="3"/>
  <c r="AE59" i="33" s="1"/>
  <c r="BR9" i="3"/>
  <c r="BH9" i="3"/>
  <c r="BF9" i="3"/>
  <c r="BQ9" i="3"/>
  <c r="X59" i="33" s="1"/>
  <c r="BP9" i="3"/>
  <c r="BG9" i="3"/>
  <c r="Q59" i="33" s="1"/>
  <c r="AX9" i="3"/>
  <c r="AW9" i="3"/>
  <c r="J59" i="33" s="1"/>
  <c r="AV9" i="3"/>
  <c r="CB10" i="3"/>
  <c r="CA10" i="3"/>
  <c r="AE60" i="33" s="1"/>
  <c r="BZ10" i="3"/>
  <c r="AX10" i="3"/>
  <c r="M233" i="33" s="1"/>
  <c r="BS14" i="3"/>
  <c r="BS15" i="3"/>
  <c r="CC16" i="3"/>
  <c r="BS19" i="3"/>
  <c r="CC21" i="3"/>
  <c r="CC22" i="3"/>
  <c r="CC24" i="3"/>
  <c r="CC25" i="3"/>
  <c r="BS26" i="3"/>
  <c r="CC35" i="3"/>
  <c r="AH53" i="33" s="1"/>
  <c r="AI53" i="33" s="1"/>
  <c r="BS38" i="3"/>
  <c r="AY39" i="3"/>
  <c r="CC41" i="3"/>
  <c r="CC121" i="3"/>
  <c r="AH121" i="33" s="1"/>
  <c r="AI121" i="33" s="1"/>
  <c r="BS122" i="3"/>
  <c r="AA122" i="33" s="1"/>
  <c r="AB122" i="33" s="1"/>
  <c r="AC122" i="33" s="1"/>
  <c r="CC134" i="3"/>
  <c r="AH124" i="33" s="1"/>
  <c r="AI124" i="33" s="1"/>
  <c r="CC135" i="3"/>
  <c r="AH127" i="33" s="1"/>
  <c r="AI127" i="33" s="1"/>
  <c r="BI136" i="3"/>
  <c r="BS139" i="3"/>
  <c r="AA129" i="33" s="1"/>
  <c r="AB129" i="33" s="1"/>
  <c r="AC129" i="33" s="1"/>
  <c r="BI10" i="3"/>
  <c r="AY9" i="3"/>
  <c r="M59" i="33" s="1"/>
  <c r="N59" i="33" s="1"/>
  <c r="U162" i="33" l="1"/>
  <c r="V162" i="33" s="1"/>
  <c r="U234" i="33"/>
  <c r="U218" i="33"/>
  <c r="V218" i="33" s="1"/>
  <c r="V12" i="36"/>
  <c r="X12" i="36" s="1"/>
  <c r="V7" i="38"/>
  <c r="P12" i="36"/>
  <c r="U12" i="36" s="1"/>
  <c r="P7" i="38"/>
  <c r="AA191" i="33"/>
  <c r="AB191" i="33" s="1"/>
  <c r="AC191" i="33" s="1"/>
  <c r="AI10" i="36" s="1"/>
  <c r="T191" i="33"/>
  <c r="U191" i="33" s="1"/>
  <c r="V191" i="33" s="1"/>
  <c r="V10" i="36" s="1"/>
  <c r="L191" i="33"/>
  <c r="N191" i="33"/>
  <c r="S218" i="33"/>
  <c r="AI159" i="33"/>
  <c r="AV11" i="35" s="1"/>
  <c r="AG159" i="33"/>
  <c r="U159" i="33"/>
  <c r="AB159" i="33"/>
  <c r="S159" i="33"/>
  <c r="AP10" i="36"/>
  <c r="AS10" i="36" s="1"/>
  <c r="K234" i="33"/>
  <c r="L234" i="33" s="1"/>
  <c r="M223" i="33"/>
  <c r="N223" i="33" s="1"/>
  <c r="O223" i="33" s="1"/>
  <c r="AA223" i="33"/>
  <c r="AB223" i="33" s="1"/>
  <c r="AC223" i="33" s="1"/>
  <c r="N159" i="33"/>
  <c r="N218" i="33"/>
  <c r="O218" i="33" s="1"/>
  <c r="L218" i="33"/>
  <c r="AV7" i="38"/>
  <c r="BA7" i="38" s="1"/>
  <c r="AV16" i="38"/>
  <c r="AV12" i="36"/>
  <c r="AY12" i="36" s="1"/>
  <c r="AI7" i="38"/>
  <c r="U10" i="36"/>
  <c r="S10" i="36"/>
  <c r="Q10" i="36"/>
  <c r="T10" i="36"/>
  <c r="R10" i="36"/>
  <c r="AQ12" i="36"/>
  <c r="AU12" i="36"/>
  <c r="AS12" i="36"/>
  <c r="AT12" i="36"/>
  <c r="AR12" i="36"/>
  <c r="AC7" i="38"/>
  <c r="AV10" i="36"/>
  <c r="AF10" i="36"/>
  <c r="AH10" i="36"/>
  <c r="AD10" i="36"/>
  <c r="AE10" i="36"/>
  <c r="AG10" i="36"/>
  <c r="AN12" i="36"/>
  <c r="AM12" i="36"/>
  <c r="AL12" i="36"/>
  <c r="AK12" i="36"/>
  <c r="AJ12" i="36"/>
  <c r="AH12" i="36"/>
  <c r="AE12" i="36"/>
  <c r="AG12" i="36"/>
  <c r="AD12" i="36"/>
  <c r="AF12" i="36"/>
  <c r="H12" i="36"/>
  <c r="G12" i="36"/>
  <c r="D12" i="36"/>
  <c r="E12" i="36"/>
  <c r="F12" i="36"/>
  <c r="N160" i="33"/>
  <c r="O160" i="33" s="1"/>
  <c r="N241" i="33"/>
  <c r="O241" i="33" s="1"/>
  <c r="I12" i="36" s="1"/>
  <c r="N164" i="33"/>
  <c r="O164" i="33" s="1"/>
  <c r="N234" i="33"/>
  <c r="O234" i="33" s="1"/>
  <c r="R179" i="33"/>
  <c r="AF305" i="33"/>
  <c r="R178" i="33"/>
  <c r="Y178" i="33"/>
  <c r="Z178" i="33" s="1"/>
  <c r="Y179" i="33"/>
  <c r="Z179" i="33" s="1"/>
  <c r="AH178" i="33"/>
  <c r="AI178" i="33" s="1"/>
  <c r="T179" i="33"/>
  <c r="AF178" i="33"/>
  <c r="AF179" i="33"/>
  <c r="AG179" i="33" s="1"/>
  <c r="AP11" i="36" s="1"/>
  <c r="T178" i="33"/>
  <c r="U178" i="33" s="1"/>
  <c r="AA179" i="33"/>
  <c r="AB179" i="33" s="1"/>
  <c r="AC179" i="33" s="1"/>
  <c r="AF309" i="33"/>
  <c r="M179" i="33"/>
  <c r="AA178" i="33"/>
  <c r="AB178" i="33" s="1"/>
  <c r="AC178" i="33" s="1"/>
  <c r="AH179" i="33"/>
  <c r="AI179" i="33" s="1"/>
  <c r="K178" i="33"/>
  <c r="K179" i="33"/>
  <c r="L179" i="33" s="1"/>
  <c r="M178" i="33"/>
  <c r="N178" i="33" s="1"/>
  <c r="AF255" i="33"/>
  <c r="AF67" i="33"/>
  <c r="AG67" i="33" s="1"/>
  <c r="AF254" i="33"/>
  <c r="AF256" i="33"/>
  <c r="R41" i="33"/>
  <c r="S41" i="33" s="1"/>
  <c r="R43" i="33"/>
  <c r="S43" i="33" s="1"/>
  <c r="R44" i="33"/>
  <c r="S44" i="33" s="1"/>
  <c r="AH43" i="33"/>
  <c r="AI43" i="33" s="1"/>
  <c r="Y47" i="33"/>
  <c r="AF49" i="33"/>
  <c r="R56" i="33"/>
  <c r="S56" i="33" s="1"/>
  <c r="R40" i="33"/>
  <c r="R42" i="33"/>
  <c r="S42" i="33" s="1"/>
  <c r="AF58" i="33"/>
  <c r="AG58" i="33" s="1"/>
  <c r="M56" i="33"/>
  <c r="N56" i="33" s="1"/>
  <c r="O56" i="33" s="1"/>
  <c r="Y40" i="33"/>
  <c r="Y41" i="33"/>
  <c r="Z41" i="33" s="1"/>
  <c r="Y42" i="33"/>
  <c r="Z42" i="33" s="1"/>
  <c r="Y43" i="33"/>
  <c r="Z43" i="33" s="1"/>
  <c r="Y44" i="33"/>
  <c r="Z44" i="33" s="1"/>
  <c r="AC12" i="35"/>
  <c r="K58" i="33"/>
  <c r="L58" i="33" s="1"/>
  <c r="K49" i="33"/>
  <c r="Y56" i="33"/>
  <c r="Z56" i="33" s="1"/>
  <c r="AE56" i="33"/>
  <c r="AH42" i="33"/>
  <c r="AI42" i="33" s="1"/>
  <c r="X56" i="33"/>
  <c r="AF40" i="33"/>
  <c r="AF41" i="33"/>
  <c r="AG41" i="33" s="1"/>
  <c r="AF42" i="33"/>
  <c r="AG42" i="33" s="1"/>
  <c r="AF43" i="33"/>
  <c r="AG43" i="33" s="1"/>
  <c r="AF44" i="33"/>
  <c r="AG44" i="33" s="1"/>
  <c r="R58" i="33"/>
  <c r="S58" i="33" s="1"/>
  <c r="AA44" i="33"/>
  <c r="AB44" i="33" s="1"/>
  <c r="AC44" i="33" s="1"/>
  <c r="Q56" i="33"/>
  <c r="AH40" i="33"/>
  <c r="J56" i="33"/>
  <c r="M162" i="33"/>
  <c r="R49" i="33"/>
  <c r="AF56" i="33"/>
  <c r="AG56" i="33" s="1"/>
  <c r="K40" i="33"/>
  <c r="K41" i="33"/>
  <c r="L41" i="33" s="1"/>
  <c r="K42" i="33"/>
  <c r="L42" i="33" s="1"/>
  <c r="K43" i="33"/>
  <c r="L43" i="33" s="1"/>
  <c r="K44" i="33"/>
  <c r="L44" i="33" s="1"/>
  <c r="K162" i="33"/>
  <c r="L162" i="33" s="1"/>
  <c r="Y58" i="33"/>
  <c r="Z58" i="33" s="1"/>
  <c r="AH58" i="33"/>
  <c r="AI58" i="33" s="1"/>
  <c r="Y49" i="33"/>
  <c r="Z49" i="33" s="1"/>
  <c r="K56" i="33"/>
  <c r="L56" i="33" s="1"/>
  <c r="T60" i="33"/>
  <c r="U60" i="33" s="1"/>
  <c r="V60" i="33" s="1"/>
  <c r="Y165" i="33"/>
  <c r="AA233" i="33"/>
  <c r="K233" i="33"/>
  <c r="AF60" i="33"/>
  <c r="AG60" i="33" s="1"/>
  <c r="AH233" i="33"/>
  <c r="AH304" i="33" s="1"/>
  <c r="T165" i="33"/>
  <c r="Z59" i="33"/>
  <c r="K60" i="33"/>
  <c r="L60" i="33" s="1"/>
  <c r="K65" i="33"/>
  <c r="AA165" i="33"/>
  <c r="R233" i="33"/>
  <c r="AF65" i="33"/>
  <c r="AA65" i="33"/>
  <c r="AB65" i="33" s="1"/>
  <c r="AC65" i="33" s="1"/>
  <c r="AG59" i="33"/>
  <c r="R60" i="33"/>
  <c r="S60" i="33" s="1"/>
  <c r="R65" i="33"/>
  <c r="S59" i="33"/>
  <c r="AF165" i="33"/>
  <c r="M165" i="33"/>
  <c r="N165" i="33" s="1"/>
  <c r="AH165" i="33"/>
  <c r="Y233" i="33"/>
  <c r="R165" i="33"/>
  <c r="Y60" i="33"/>
  <c r="Z60" i="33" s="1"/>
  <c r="Y65" i="33"/>
  <c r="Z65" i="33" s="1"/>
  <c r="T233" i="33"/>
  <c r="T304" i="33" s="1"/>
  <c r="AF233" i="33"/>
  <c r="BS29" i="3"/>
  <c r="CC29" i="3"/>
  <c r="BI29" i="3"/>
  <c r="BI122" i="3"/>
  <c r="T122" i="33" s="1"/>
  <c r="U122" i="33" s="1"/>
  <c r="V122" i="33" s="1"/>
  <c r="CC9" i="3"/>
  <c r="AH59" i="33" s="1"/>
  <c r="AY136" i="3"/>
  <c r="M128" i="33" s="1"/>
  <c r="N128" i="33" s="1"/>
  <c r="BI39" i="3"/>
  <c r="BI16" i="3"/>
  <c r="BS134" i="3"/>
  <c r="AA124" i="33" s="1"/>
  <c r="AB124" i="33" s="1"/>
  <c r="AC124" i="33" s="1"/>
  <c r="AY10" i="3"/>
  <c r="BI139" i="3"/>
  <c r="T129" i="33" s="1"/>
  <c r="U129" i="33" s="1"/>
  <c r="AY41" i="3"/>
  <c r="BI121" i="3"/>
  <c r="T121" i="33" s="1"/>
  <c r="U121" i="33" s="1"/>
  <c r="AY134" i="3"/>
  <c r="M124" i="33" s="1"/>
  <c r="N124" i="33" s="1"/>
  <c r="O124" i="33" s="1"/>
  <c r="BI9" i="3"/>
  <c r="T59" i="33" s="1"/>
  <c r="AY16" i="3"/>
  <c r="BS22" i="3"/>
  <c r="CC10" i="3"/>
  <c r="AY14" i="3"/>
  <c r="AY22" i="3"/>
  <c r="AY121" i="3"/>
  <c r="M121" i="33" s="1"/>
  <c r="N121" i="33" s="1"/>
  <c r="AY29" i="3"/>
  <c r="BI41" i="3"/>
  <c r="BI19" i="3"/>
  <c r="CC14" i="3"/>
  <c r="CC138" i="3"/>
  <c r="AH125" i="33" s="1"/>
  <c r="AI125" i="33" s="1"/>
  <c r="BS138" i="3"/>
  <c r="AA125" i="33" s="1"/>
  <c r="AB125" i="33" s="1"/>
  <c r="AC125" i="33" s="1"/>
  <c r="CC31" i="3"/>
  <c r="BS31" i="3"/>
  <c r="CC38" i="3"/>
  <c r="AY24" i="3"/>
  <c r="AY15" i="3"/>
  <c r="BI38" i="3"/>
  <c r="BI26" i="3"/>
  <c r="BS121" i="3"/>
  <c r="AA121" i="33" s="1"/>
  <c r="AB121" i="33" s="1"/>
  <c r="AC121" i="33" s="1"/>
  <c r="BS41" i="3"/>
  <c r="CC19" i="3"/>
  <c r="CC139" i="3"/>
  <c r="AH129" i="33" s="1"/>
  <c r="AI129" i="33" s="1"/>
  <c r="CC23" i="3"/>
  <c r="BS23" i="3"/>
  <c r="BS135" i="3"/>
  <c r="AA127" i="33" s="1"/>
  <c r="AB127" i="33" s="1"/>
  <c r="AC127" i="33" s="1"/>
  <c r="BS25" i="3"/>
  <c r="CC136" i="3"/>
  <c r="BS136" i="3"/>
  <c r="AB128" i="33" s="1"/>
  <c r="AC128" i="33" s="1"/>
  <c r="CC39" i="3"/>
  <c r="BS39" i="3"/>
  <c r="AY138" i="3"/>
  <c r="M125" i="33" s="1"/>
  <c r="N125" i="33" s="1"/>
  <c r="AY31" i="3"/>
  <c r="AY23" i="3"/>
  <c r="BI135" i="3"/>
  <c r="T127" i="33" s="1"/>
  <c r="U127" i="33" s="1"/>
  <c r="BI35" i="3"/>
  <c r="T53" i="33" s="1"/>
  <c r="U53" i="33" s="1"/>
  <c r="V53" i="33" s="1"/>
  <c r="BI25" i="3"/>
  <c r="BI21" i="3"/>
  <c r="BS24" i="3"/>
  <c r="BS10" i="3"/>
  <c r="CC15" i="3"/>
  <c r="BS35" i="3"/>
  <c r="AA53" i="33" s="1"/>
  <c r="AB53" i="33" s="1"/>
  <c r="AC53" i="33" s="1"/>
  <c r="BS21" i="3"/>
  <c r="CC26" i="3"/>
  <c r="BS9" i="3"/>
  <c r="AA59" i="33" s="1"/>
  <c r="AY38" i="3"/>
  <c r="AY26" i="3"/>
  <c r="BI24" i="3"/>
  <c r="BI15" i="3"/>
  <c r="BS16" i="3"/>
  <c r="CC122" i="3"/>
  <c r="AH122" i="33" s="1"/>
  <c r="AI122" i="33" s="1"/>
  <c r="AY135" i="3"/>
  <c r="M127" i="33" s="1"/>
  <c r="N127" i="33" s="1"/>
  <c r="AY35" i="3"/>
  <c r="M53" i="33" s="1"/>
  <c r="N53" i="33" s="1"/>
  <c r="O53" i="33" s="1"/>
  <c r="AY25" i="3"/>
  <c r="AY21" i="3"/>
  <c r="BI138" i="3"/>
  <c r="T125" i="33" s="1"/>
  <c r="U125" i="33" s="1"/>
  <c r="BI31" i="3"/>
  <c r="BI23" i="3"/>
  <c r="AY139" i="3"/>
  <c r="M129" i="33" s="1"/>
  <c r="N129" i="33" s="1"/>
  <c r="AY122" i="3"/>
  <c r="M122" i="33" s="1"/>
  <c r="AY19" i="3"/>
  <c r="BI134" i="3"/>
  <c r="T124" i="33" s="1"/>
  <c r="U124" i="33" s="1"/>
  <c r="V124" i="33" s="1"/>
  <c r="BI22" i="3"/>
  <c r="BI14" i="3"/>
  <c r="R203" i="33" l="1"/>
  <c r="S203" i="33" s="1"/>
  <c r="Q7" i="34" s="1"/>
  <c r="U11" i="35"/>
  <c r="R13" i="36"/>
  <c r="T12" i="36"/>
  <c r="T363" i="33"/>
  <c r="T203" i="33"/>
  <c r="U203" i="33" s="1"/>
  <c r="V234" i="33"/>
  <c r="Z12" i="36"/>
  <c r="S12" i="36"/>
  <c r="W12" i="36"/>
  <c r="S304" i="33"/>
  <c r="Q8" i="34" s="1"/>
  <c r="T8" i="34" s="1"/>
  <c r="Q12" i="36"/>
  <c r="AA12" i="36"/>
  <c r="R12" i="36"/>
  <c r="Y12" i="36"/>
  <c r="U304" i="33"/>
  <c r="S7" i="38"/>
  <c r="T7" i="38"/>
  <c r="U7" i="38"/>
  <c r="Q7" i="38"/>
  <c r="R7" i="38"/>
  <c r="Z7" i="38"/>
  <c r="Y7" i="38"/>
  <c r="W7" i="38"/>
  <c r="AA7" i="38"/>
  <c r="X7" i="38"/>
  <c r="C10" i="36"/>
  <c r="H10" i="36" s="1"/>
  <c r="M304" i="33"/>
  <c r="N304" i="33" s="1"/>
  <c r="AC11" i="36"/>
  <c r="AE11" i="36" s="1"/>
  <c r="AM10" i="36"/>
  <c r="AJ10" i="36"/>
  <c r="AN10" i="36"/>
  <c r="AL10" i="36"/>
  <c r="AK10" i="36"/>
  <c r="M363" i="33"/>
  <c r="K304" i="33"/>
  <c r="K363" i="33"/>
  <c r="K362" i="33"/>
  <c r="U179" i="33"/>
  <c r="O191" i="33"/>
  <c r="I10" i="36" s="1"/>
  <c r="S179" i="33"/>
  <c r="C16" i="38"/>
  <c r="D16" i="38" s="1"/>
  <c r="AH363" i="33"/>
  <c r="AA203" i="33"/>
  <c r="AB203" i="33" s="1"/>
  <c r="Y363" i="33"/>
  <c r="AF363" i="33"/>
  <c r="AA363" i="33"/>
  <c r="AC159" i="33"/>
  <c r="AI13" i="36" s="1"/>
  <c r="AH203" i="33"/>
  <c r="AP11" i="35"/>
  <c r="AU11" i="35" s="1"/>
  <c r="V159" i="33"/>
  <c r="AF203" i="33"/>
  <c r="AG203" i="33" s="1"/>
  <c r="Y203" i="33"/>
  <c r="Z203" i="33" s="1"/>
  <c r="AE7" i="34" s="1"/>
  <c r="AQ10" i="36"/>
  <c r="AR10" i="36"/>
  <c r="AT10" i="36"/>
  <c r="AU10" i="36"/>
  <c r="K130" i="33"/>
  <c r="K203" i="33"/>
  <c r="L203" i="33" s="1"/>
  <c r="C7" i="34" s="1"/>
  <c r="Y304" i="33"/>
  <c r="Z304" i="33" s="1"/>
  <c r="AE8" i="34" s="1"/>
  <c r="AF8" i="34" s="1"/>
  <c r="C11" i="36"/>
  <c r="G11" i="36" s="1"/>
  <c r="M203" i="33"/>
  <c r="N203" i="33" s="1"/>
  <c r="AW11" i="35"/>
  <c r="BA11" i="35"/>
  <c r="AZ11" i="35"/>
  <c r="AY11" i="35"/>
  <c r="AX11" i="35"/>
  <c r="AG12" i="35"/>
  <c r="AF12" i="35"/>
  <c r="AE12" i="35"/>
  <c r="AD12" i="35"/>
  <c r="AH12" i="35"/>
  <c r="C11" i="35"/>
  <c r="AY7" i="38"/>
  <c r="AW7" i="38"/>
  <c r="AZ7" i="38"/>
  <c r="AX7" i="38"/>
  <c r="AX12" i="36"/>
  <c r="BA12" i="36"/>
  <c r="AW12" i="36"/>
  <c r="AV11" i="36"/>
  <c r="AW11" i="36" s="1"/>
  <c r="AZ12" i="36"/>
  <c r="AI11" i="36"/>
  <c r="AL11" i="36" s="1"/>
  <c r="AV13" i="36"/>
  <c r="AZ13" i="36" s="1"/>
  <c r="AP13" i="36"/>
  <c r="AC13" i="36"/>
  <c r="M12" i="36"/>
  <c r="K12" i="36"/>
  <c r="J12" i="36"/>
  <c r="N12" i="36"/>
  <c r="L12" i="36"/>
  <c r="AT11" i="36"/>
  <c r="AU11" i="36"/>
  <c r="AR11" i="36"/>
  <c r="AQ11" i="36"/>
  <c r="AS11" i="36"/>
  <c r="AW10" i="36"/>
  <c r="AZ10" i="36"/>
  <c r="AX10" i="36"/>
  <c r="BA10" i="36"/>
  <c r="AY10" i="36"/>
  <c r="AH7" i="38"/>
  <c r="AF7" i="38"/>
  <c r="AE7" i="38"/>
  <c r="AD7" i="38"/>
  <c r="AG7" i="38"/>
  <c r="AJ7" i="38"/>
  <c r="AM7" i="38"/>
  <c r="AK7" i="38"/>
  <c r="AN7" i="38"/>
  <c r="AL7" i="38"/>
  <c r="AP12" i="35"/>
  <c r="AC11" i="35"/>
  <c r="C13" i="36"/>
  <c r="AV12" i="35"/>
  <c r="C12" i="35"/>
  <c r="AF304" i="33"/>
  <c r="AG304" i="33" s="1"/>
  <c r="AS8" i="34" s="1"/>
  <c r="AW8" i="34" s="1"/>
  <c r="N162" i="33"/>
  <c r="O162" i="33" s="1"/>
  <c r="I11" i="35" s="1"/>
  <c r="AF360" i="33"/>
  <c r="AG360" i="33" s="1"/>
  <c r="AS9" i="34" s="1"/>
  <c r="N122" i="33"/>
  <c r="O122" i="33" s="1"/>
  <c r="R130" i="33"/>
  <c r="N233" i="33"/>
  <c r="Z40" i="33"/>
  <c r="Y362" i="33"/>
  <c r="Y130" i="33"/>
  <c r="AA304" i="33"/>
  <c r="AB304" i="33" s="1"/>
  <c r="AG40" i="33"/>
  <c r="AF362" i="33"/>
  <c r="AF130" i="33"/>
  <c r="N179" i="33"/>
  <c r="O179" i="33" s="1"/>
  <c r="AA56" i="33"/>
  <c r="AB56" i="33" s="1"/>
  <c r="AC56" i="33" s="1"/>
  <c r="M40" i="33"/>
  <c r="T47" i="33"/>
  <c r="AA42" i="33"/>
  <c r="AB42" i="33" s="1"/>
  <c r="AC42" i="33" s="1"/>
  <c r="AA40" i="33"/>
  <c r="AA49" i="33"/>
  <c r="AB49" i="33" s="1"/>
  <c r="AC49" i="33" s="1"/>
  <c r="AH41" i="33"/>
  <c r="AI41" i="33" s="1"/>
  <c r="AA58" i="33"/>
  <c r="AB58" i="33" s="1"/>
  <c r="AC58" i="33" s="1"/>
  <c r="T58" i="33"/>
  <c r="U58" i="33" s="1"/>
  <c r="V58" i="33" s="1"/>
  <c r="AA47" i="33"/>
  <c r="S49" i="33"/>
  <c r="T49" i="33"/>
  <c r="U49" i="33" s="1"/>
  <c r="V49" i="33" s="1"/>
  <c r="AA41" i="33"/>
  <c r="AB41" i="33" s="1"/>
  <c r="AC41" i="33" s="1"/>
  <c r="T44" i="33"/>
  <c r="U44" i="33" s="1"/>
  <c r="V44" i="33" s="1"/>
  <c r="AH44" i="33"/>
  <c r="AI44" i="33" s="1"/>
  <c r="AH49" i="33"/>
  <c r="AI49" i="33" s="1"/>
  <c r="T40" i="33"/>
  <c r="M44" i="33"/>
  <c r="N44" i="33" s="1"/>
  <c r="O44" i="33" s="1"/>
  <c r="M42" i="33"/>
  <c r="N42" i="33" s="1"/>
  <c r="O42" i="33" s="1"/>
  <c r="AG49" i="33"/>
  <c r="T42" i="33"/>
  <c r="U42" i="33" s="1"/>
  <c r="V42" i="33" s="1"/>
  <c r="M41" i="33"/>
  <c r="N41" i="33" s="1"/>
  <c r="O41" i="33" s="1"/>
  <c r="M58" i="33"/>
  <c r="AH56" i="33"/>
  <c r="AI56" i="33" s="1"/>
  <c r="T43" i="33"/>
  <c r="U43" i="33" s="1"/>
  <c r="V43" i="33" s="1"/>
  <c r="AA43" i="33"/>
  <c r="AB43" i="33" s="1"/>
  <c r="AC43" i="33" s="1"/>
  <c r="T56" i="33"/>
  <c r="U56" i="33" s="1"/>
  <c r="V56" i="33" s="1"/>
  <c r="Z47" i="33"/>
  <c r="M43" i="33"/>
  <c r="N43" i="33" s="1"/>
  <c r="O43" i="33" s="1"/>
  <c r="L49" i="33"/>
  <c r="AH47" i="33"/>
  <c r="M49" i="33"/>
  <c r="N49" i="33" s="1"/>
  <c r="O49" i="33" s="1"/>
  <c r="M47" i="33"/>
  <c r="N47" i="33" s="1"/>
  <c r="O47" i="33" s="1"/>
  <c r="T41" i="33"/>
  <c r="U41" i="33" s="1"/>
  <c r="V41" i="33" s="1"/>
  <c r="AI40" i="33"/>
  <c r="L233" i="33"/>
  <c r="M60" i="33"/>
  <c r="N60" i="33" s="1"/>
  <c r="AG165" i="33"/>
  <c r="M65" i="33"/>
  <c r="N65" i="33" s="1"/>
  <c r="AI233" i="33"/>
  <c r="AI304" i="33" s="1"/>
  <c r="AY8" i="34" s="1"/>
  <c r="AB233" i="33"/>
  <c r="AI59" i="33"/>
  <c r="T65" i="33"/>
  <c r="U65" i="33" s="1"/>
  <c r="U59" i="33"/>
  <c r="AG233" i="33"/>
  <c r="AI165" i="33"/>
  <c r="AI203" i="33" s="1"/>
  <c r="AY7" i="34" s="1"/>
  <c r="S233" i="33"/>
  <c r="P6" i="36" s="1"/>
  <c r="AB59" i="33"/>
  <c r="AH60" i="33"/>
  <c r="AI60" i="33" s="1"/>
  <c r="U165" i="33"/>
  <c r="AA60" i="33"/>
  <c r="AB60" i="33" s="1"/>
  <c r="AC60" i="33" s="1"/>
  <c r="U233" i="33"/>
  <c r="AB165" i="33"/>
  <c r="Z233" i="33"/>
  <c r="Z363" i="33" s="1"/>
  <c r="AE13" i="34" s="1"/>
  <c r="AH65" i="33"/>
  <c r="AI65" i="33" s="1"/>
  <c r="U363" i="33" l="1"/>
  <c r="R361" i="33"/>
  <c r="AG363" i="33"/>
  <c r="AS13" i="34" s="1"/>
  <c r="Q13" i="34"/>
  <c r="V13" i="36"/>
  <c r="AA13" i="36" s="1"/>
  <c r="T362" i="33"/>
  <c r="E10" i="36"/>
  <c r="F10" i="36"/>
  <c r="G10" i="36"/>
  <c r="D10" i="36"/>
  <c r="R6" i="38"/>
  <c r="G16" i="38"/>
  <c r="F16" i="38"/>
  <c r="AF11" i="36"/>
  <c r="AD11" i="36"/>
  <c r="AG11" i="36"/>
  <c r="AH11" i="36"/>
  <c r="L362" i="33"/>
  <c r="S11" i="35"/>
  <c r="C15" i="35"/>
  <c r="G15" i="35" s="1"/>
  <c r="C6" i="36"/>
  <c r="H16" i="38"/>
  <c r="E16" i="38"/>
  <c r="R11" i="35"/>
  <c r="Q11" i="35"/>
  <c r="T11" i="35"/>
  <c r="M362" i="33"/>
  <c r="L363" i="33"/>
  <c r="C13" i="34" s="1"/>
  <c r="H13" i="34" s="1"/>
  <c r="P15" i="35"/>
  <c r="S15" i="35" s="1"/>
  <c r="AC6" i="38"/>
  <c r="AE6" i="38" s="1"/>
  <c r="N363" i="33"/>
  <c r="P11" i="36"/>
  <c r="S11" i="36" s="1"/>
  <c r="AB363" i="33"/>
  <c r="AA11" i="35"/>
  <c r="V179" i="33"/>
  <c r="AS7" i="34"/>
  <c r="AW7" i="34" s="1"/>
  <c r="AS11" i="35"/>
  <c r="AQ11" i="35"/>
  <c r="AR11" i="35"/>
  <c r="AT11" i="35"/>
  <c r="AI11" i="35"/>
  <c r="AN11" i="35" s="1"/>
  <c r="AI12" i="35"/>
  <c r="AM12" i="35" s="1"/>
  <c r="BD7" i="34"/>
  <c r="BC7" i="34"/>
  <c r="BA7" i="34"/>
  <c r="AZ7" i="34"/>
  <c r="BB7" i="34"/>
  <c r="AC203" i="33"/>
  <c r="AK7" i="34" s="1"/>
  <c r="V7" i="34"/>
  <c r="U7" i="34"/>
  <c r="T7" i="34"/>
  <c r="R7" i="34"/>
  <c r="S7" i="34"/>
  <c r="AG7" i="34"/>
  <c r="AI7" i="34"/>
  <c r="AH7" i="34"/>
  <c r="AJ7" i="34"/>
  <c r="AF7" i="34"/>
  <c r="AP6" i="38"/>
  <c r="AI363" i="33"/>
  <c r="AY13" i="34" s="1"/>
  <c r="AV6" i="38"/>
  <c r="AI8" i="34"/>
  <c r="AG8" i="34"/>
  <c r="AJ8" i="34"/>
  <c r="AH8" i="34"/>
  <c r="U8" i="34"/>
  <c r="S8" i="34"/>
  <c r="V8" i="34"/>
  <c r="R8" i="34"/>
  <c r="C6" i="38"/>
  <c r="H6" i="38" s="1"/>
  <c r="D11" i="36"/>
  <c r="H11" i="36"/>
  <c r="F11" i="36"/>
  <c r="E11" i="36"/>
  <c r="I11" i="36"/>
  <c r="L11" i="36"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D11" i="35"/>
  <c r="AH11" i="35"/>
  <c r="AG11" i="35"/>
  <c r="AF11" i="35"/>
  <c r="AE11" i="35"/>
  <c r="AQ12" i="35"/>
  <c r="AU12" i="35"/>
  <c r="AR12" i="35"/>
  <c r="AT12" i="35"/>
  <c r="AS12" i="35"/>
  <c r="K361" i="33"/>
  <c r="H7" i="34"/>
  <c r="F7" i="34"/>
  <c r="G7" i="34"/>
  <c r="E7" i="34"/>
  <c r="D7" i="34"/>
  <c r="O203" i="33"/>
  <c r="I7" i="34" s="1"/>
  <c r="AZ11" i="36"/>
  <c r="AX11" i="36"/>
  <c r="AY11" i="36"/>
  <c r="BA11" i="36"/>
  <c r="AJ11" i="36"/>
  <c r="S13" i="36"/>
  <c r="AK11" i="36"/>
  <c r="T13" i="36"/>
  <c r="AW13" i="36"/>
  <c r="U13" i="36"/>
  <c r="AX13" i="36"/>
  <c r="BA13" i="36"/>
  <c r="Q13" i="36"/>
  <c r="AY13" i="36"/>
  <c r="AM11" i="36"/>
  <c r="I13" i="36"/>
  <c r="J13" i="36" s="1"/>
  <c r="AN11" i="36"/>
  <c r="AP6" i="36"/>
  <c r="AT6" i="36" s="1"/>
  <c r="AV6" i="36"/>
  <c r="AE13" i="36"/>
  <c r="AG13" i="36"/>
  <c r="AH13" i="36"/>
  <c r="AD13" i="36"/>
  <c r="AF13" i="36"/>
  <c r="AR13" i="36"/>
  <c r="AT13" i="36"/>
  <c r="AQ13" i="36"/>
  <c r="AU13" i="36"/>
  <c r="AS13" i="36"/>
  <c r="AL13" i="36"/>
  <c r="AJ13" i="36"/>
  <c r="AK13" i="36"/>
  <c r="AM13" i="36"/>
  <c r="AN13" i="36"/>
  <c r="AC15" i="35"/>
  <c r="AF15" i="35" s="1"/>
  <c r="AC6" i="36"/>
  <c r="H13" i="36"/>
  <c r="F13" i="36"/>
  <c r="G13" i="36"/>
  <c r="E13" i="36"/>
  <c r="D13" i="36"/>
  <c r="AV15" i="35"/>
  <c r="AP15" i="35"/>
  <c r="I12" i="35"/>
  <c r="AG362" i="33"/>
  <c r="AX8" i="34"/>
  <c r="AU8" i="34"/>
  <c r="AV8" i="34"/>
  <c r="AT8" i="34"/>
  <c r="AH130" i="33"/>
  <c r="AH361" i="33" s="1"/>
  <c r="N58" i="33"/>
  <c r="O58" i="33" s="1"/>
  <c r="S130" i="33"/>
  <c r="N40" i="33"/>
  <c r="M130" i="33"/>
  <c r="Y361" i="33"/>
  <c r="Z130" i="33"/>
  <c r="AH362" i="33"/>
  <c r="AB40" i="33"/>
  <c r="AA362" i="33"/>
  <c r="AA130" i="33"/>
  <c r="Z362" i="33"/>
  <c r="U40" i="33"/>
  <c r="T130" i="33"/>
  <c r="T361" i="33" s="1"/>
  <c r="AU9" i="34"/>
  <c r="AX9" i="34"/>
  <c r="AV9" i="34"/>
  <c r="AW9" i="34"/>
  <c r="AT9" i="34"/>
  <c r="BD8" i="34"/>
  <c r="BA8" i="34"/>
  <c r="AZ8" i="34"/>
  <c r="BB8" i="34"/>
  <c r="BC8" i="34"/>
  <c r="AF361" i="33"/>
  <c r="AS11" i="34" s="1"/>
  <c r="AG130" i="33"/>
  <c r="AI47" i="33"/>
  <c r="AI362" i="33" s="1"/>
  <c r="U47" i="33"/>
  <c r="AB47" i="33"/>
  <c r="L130" i="33"/>
  <c r="O233" i="33"/>
  <c r="O304" i="33" s="1"/>
  <c r="V59" i="33"/>
  <c r="L304" i="33"/>
  <c r="C8" i="34" s="1"/>
  <c r="AC233" i="33"/>
  <c r="AI6" i="36" s="1"/>
  <c r="AC59" i="33"/>
  <c r="V233" i="33"/>
  <c r="V304" i="33" s="1"/>
  <c r="AX13" i="34" l="1"/>
  <c r="U362" i="33"/>
  <c r="V363" i="33"/>
  <c r="W13" i="34" s="1"/>
  <c r="V203" i="33"/>
  <c r="W7" i="34" s="1"/>
  <c r="Q11" i="36"/>
  <c r="V6" i="36"/>
  <c r="W6" i="36" s="1"/>
  <c r="S6" i="38"/>
  <c r="V6" i="38"/>
  <c r="U11" i="36"/>
  <c r="AF6" i="38"/>
  <c r="V11" i="36"/>
  <c r="AG6" i="38"/>
  <c r="R11" i="36"/>
  <c r="T11" i="36"/>
  <c r="AD6" i="38"/>
  <c r="AH6" i="38"/>
  <c r="I15" i="35"/>
  <c r="N362" i="33"/>
  <c r="W11" i="35"/>
  <c r="X11" i="35"/>
  <c r="Z11" i="35"/>
  <c r="Y11" i="35"/>
  <c r="U6" i="38"/>
  <c r="Q6" i="38"/>
  <c r="T6" i="38"/>
  <c r="W8" i="34"/>
  <c r="AA8" i="34" s="1"/>
  <c r="V15" i="35"/>
  <c r="S13" i="34"/>
  <c r="U13" i="34"/>
  <c r="V13" i="34"/>
  <c r="T13" i="34"/>
  <c r="R13" i="34"/>
  <c r="O363" i="33"/>
  <c r="I13" i="34" s="1"/>
  <c r="AT7" i="34"/>
  <c r="AX7" i="34"/>
  <c r="AU7" i="34"/>
  <c r="AV7" i="34"/>
  <c r="N10" i="36"/>
  <c r="K10" i="36"/>
  <c r="L10" i="36"/>
  <c r="J10" i="36"/>
  <c r="M10" i="36"/>
  <c r="Y13" i="36"/>
  <c r="W13" i="36"/>
  <c r="Z13" i="36"/>
  <c r="X13" i="36"/>
  <c r="AK12" i="35"/>
  <c r="AN12" i="35"/>
  <c r="AL11" i="35"/>
  <c r="AJ11" i="35"/>
  <c r="AK11" i="35"/>
  <c r="AM11" i="35"/>
  <c r="AJ12" i="35"/>
  <c r="AL12" i="35"/>
  <c r="AC363" i="33"/>
  <c r="AK13" i="34" s="1"/>
  <c r="AI6" i="38"/>
  <c r="X12" i="35"/>
  <c r="W12" i="35"/>
  <c r="Z12" i="35"/>
  <c r="AA12" i="35"/>
  <c r="Y12" i="35"/>
  <c r="AO7" i="34"/>
  <c r="AM7" i="34"/>
  <c r="AL7" i="34"/>
  <c r="AN7" i="34"/>
  <c r="AP7" i="34"/>
  <c r="BA6" i="38"/>
  <c r="AX6" i="38"/>
  <c r="AY6" i="38"/>
  <c r="AW6" i="38"/>
  <c r="AZ6" i="38"/>
  <c r="AS6" i="38"/>
  <c r="AT6" i="38"/>
  <c r="AR6" i="38"/>
  <c r="AU6" i="38"/>
  <c r="AQ6" i="38"/>
  <c r="I8" i="34"/>
  <c r="L8" i="34" s="1"/>
  <c r="I6" i="36"/>
  <c r="N11" i="36"/>
  <c r="J11" i="36"/>
  <c r="M11" i="36"/>
  <c r="K11" i="36"/>
  <c r="I6" i="38"/>
  <c r="D6" i="38"/>
  <c r="E6" i="38"/>
  <c r="F6" i="38"/>
  <c r="G6" i="38"/>
  <c r="D13" i="34"/>
  <c r="E13" i="34"/>
  <c r="F13" i="34"/>
  <c r="G13" i="34"/>
  <c r="L361"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AK6" i="36"/>
  <c r="AN6" i="36"/>
  <c r="AL6" i="36"/>
  <c r="AM6" i="36"/>
  <c r="AJ6" i="36"/>
  <c r="T6" i="36"/>
  <c r="S6" i="36"/>
  <c r="U6" i="36"/>
  <c r="Q6" i="36"/>
  <c r="R6" i="36"/>
  <c r="F15" i="35"/>
  <c r="BA15" i="35"/>
  <c r="AY15" i="35"/>
  <c r="AW15" i="35"/>
  <c r="AZ15" i="35"/>
  <c r="AX15" i="35"/>
  <c r="E15" i="35"/>
  <c r="H15" i="35"/>
  <c r="AU15" i="35"/>
  <c r="AR15" i="35"/>
  <c r="AT15" i="35"/>
  <c r="AS15" i="35"/>
  <c r="AQ15" i="35"/>
  <c r="AC304" i="33"/>
  <c r="AK8" i="34" s="1"/>
  <c r="AL8" i="34" s="1"/>
  <c r="AI15" i="35"/>
  <c r="D15" i="35"/>
  <c r="E6" i="36"/>
  <c r="H6" i="36"/>
  <c r="D6" i="36"/>
  <c r="F6" i="36"/>
  <c r="G6" i="36"/>
  <c r="AW13" i="34"/>
  <c r="AT13" i="34"/>
  <c r="AV13" i="34"/>
  <c r="AU13" i="34"/>
  <c r="BA13" i="34"/>
  <c r="BC13" i="34"/>
  <c r="BD13" i="34"/>
  <c r="AZ13" i="34"/>
  <c r="BB13" i="34"/>
  <c r="S361" i="33"/>
  <c r="Q11" i="34" s="1"/>
  <c r="Q6" i="34"/>
  <c r="AA361" i="33"/>
  <c r="AB130" i="33"/>
  <c r="AB361" i="33" s="1"/>
  <c r="U130" i="33"/>
  <c r="U361" i="33" s="1"/>
  <c r="AI130" i="33"/>
  <c r="M361" i="33"/>
  <c r="N130" i="33"/>
  <c r="N361" i="33" s="1"/>
  <c r="C6" i="34"/>
  <c r="AC40" i="33"/>
  <c r="AB362" i="33"/>
  <c r="AE6" i="34"/>
  <c r="Z361" i="33"/>
  <c r="AE11" i="34" s="1"/>
  <c r="AS6" i="34"/>
  <c r="AG361" i="33"/>
  <c r="G8" i="34"/>
  <c r="E8" i="34"/>
  <c r="D8" i="34"/>
  <c r="F8" i="34"/>
  <c r="H8" i="34"/>
  <c r="AV11" i="34"/>
  <c r="AU11" i="34"/>
  <c r="AW11" i="34"/>
  <c r="AT11" i="34"/>
  <c r="AX11" i="34"/>
  <c r="AJ13" i="34"/>
  <c r="AG13" i="34"/>
  <c r="AH13" i="34"/>
  <c r="AF13" i="34"/>
  <c r="AI13" i="34"/>
  <c r="AC47" i="33"/>
  <c r="V47" i="33"/>
  <c r="V362" i="33" s="1"/>
  <c r="O60" i="33"/>
  <c r="O362" i="33" s="1"/>
  <c r="AB7" i="34" l="1"/>
  <c r="AA7" i="34"/>
  <c r="Z7" i="34"/>
  <c r="Y7" i="34"/>
  <c r="X7" i="34"/>
  <c r="Z11" i="36"/>
  <c r="Y11" i="36"/>
  <c r="W11" i="36"/>
  <c r="X11" i="36"/>
  <c r="AA11" i="36"/>
  <c r="AA6" i="36"/>
  <c r="Z6" i="36"/>
  <c r="X6" i="36"/>
  <c r="Y6" i="36"/>
  <c r="AA6" i="38"/>
  <c r="X6" i="38"/>
  <c r="W6" i="38"/>
  <c r="Z6" i="38"/>
  <c r="Y6" i="38"/>
  <c r="AN6" i="38"/>
  <c r="AM6" i="38"/>
  <c r="AK6" i="38"/>
  <c r="AJ6" i="38"/>
  <c r="AL6" i="38"/>
  <c r="L6" i="38"/>
  <c r="M6" i="38"/>
  <c r="K6" i="38"/>
  <c r="N6" i="38"/>
  <c r="J6" i="38"/>
  <c r="K8" i="34"/>
  <c r="J8" i="34"/>
  <c r="M8" i="34"/>
  <c r="N8" i="34"/>
  <c r="J6" i="36"/>
  <c r="M6" i="36"/>
  <c r="L6" i="36"/>
  <c r="N6" i="36"/>
  <c r="K6" i="36"/>
  <c r="Y8" i="34"/>
  <c r="Z8" i="34"/>
  <c r="AM8" i="34"/>
  <c r="AO8" i="34"/>
  <c r="W15" i="35"/>
  <c r="AA15" i="35"/>
  <c r="X15" i="35"/>
  <c r="Z15" i="35"/>
  <c r="Y15" i="35"/>
  <c r="AP8" i="34"/>
  <c r="X8" i="34"/>
  <c r="AB8" i="34"/>
  <c r="AN8" i="34"/>
  <c r="AL15" i="35"/>
  <c r="AN15" i="35"/>
  <c r="AK15" i="35"/>
  <c r="AM15" i="35"/>
  <c r="AJ15" i="35"/>
  <c r="AI11" i="34"/>
  <c r="AH11" i="34"/>
  <c r="AG11" i="34"/>
  <c r="AF11" i="34"/>
  <c r="AJ11" i="34"/>
  <c r="AG6" i="34"/>
  <c r="AH6" i="34"/>
  <c r="AF6" i="34"/>
  <c r="AI6" i="34"/>
  <c r="AJ6" i="34"/>
  <c r="U6" i="34"/>
  <c r="S6" i="34"/>
  <c r="T6" i="34"/>
  <c r="V6" i="34"/>
  <c r="R6" i="34"/>
  <c r="AY6" i="34"/>
  <c r="AI361" i="33"/>
  <c r="AY11" i="34" s="1"/>
  <c r="AX6" i="34"/>
  <c r="AV6" i="34"/>
  <c r="AW6" i="34"/>
  <c r="AT6" i="34"/>
  <c r="AU6" i="34"/>
  <c r="AC362" i="33"/>
  <c r="AC130" i="33"/>
  <c r="T11" i="34"/>
  <c r="V11" i="34"/>
  <c r="U11" i="34"/>
  <c r="S11" i="34"/>
  <c r="R11" i="34"/>
  <c r="N15" i="35"/>
  <c r="M15" i="35"/>
  <c r="L15" i="35"/>
  <c r="K15" i="35"/>
  <c r="J15" i="35"/>
  <c r="V130" i="33"/>
  <c r="G11" i="34"/>
  <c r="H11" i="34"/>
  <c r="F11" i="34"/>
  <c r="D11" i="34"/>
  <c r="E11" i="34"/>
  <c r="F6" i="34"/>
  <c r="D6" i="34"/>
  <c r="E6" i="34"/>
  <c r="G6" i="34"/>
  <c r="H6" i="34"/>
  <c r="O130" i="33"/>
  <c r="X10" i="36" l="1"/>
  <c r="Z10" i="36"/>
  <c r="AA10" i="36"/>
  <c r="Y10" i="36"/>
  <c r="W10" i="36"/>
  <c r="N13" i="34"/>
  <c r="K13" i="34"/>
  <c r="J13" i="34"/>
  <c r="L13" i="34"/>
  <c r="M13" i="34"/>
  <c r="AM13" i="34"/>
  <c r="AN13" i="34"/>
  <c r="AL13" i="34"/>
  <c r="AO13" i="34"/>
  <c r="AP13" i="34"/>
  <c r="I6" i="34"/>
  <c r="O361" i="33"/>
  <c r="I11" i="34" s="1"/>
  <c r="BD6" i="34"/>
  <c r="BB6" i="34"/>
  <c r="BC6" i="34"/>
  <c r="BA6" i="34"/>
  <c r="AZ6" i="34"/>
  <c r="Z13" i="34"/>
  <c r="AB13" i="34"/>
  <c r="X13" i="34"/>
  <c r="AA13" i="34"/>
  <c r="Y13" i="34"/>
  <c r="AK6" i="34"/>
  <c r="AC361" i="33"/>
  <c r="AK11" i="34" s="1"/>
  <c r="W6" i="34"/>
  <c r="V361"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F35D0D4D-1D9C-4270-A441-32C5F3619182}">
      <text>
        <r>
          <rPr>
            <sz val="9"/>
            <color indexed="81"/>
            <rFont val="Tahoma"/>
            <family val="2"/>
          </rPr>
          <t>Datos iniciales</t>
        </r>
      </text>
    </comment>
    <comment ref="U28"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2AD5FF00-6D68-4641-9D3A-8607352B65EE}">
      <text>
        <r>
          <rPr>
            <sz val="9"/>
            <color indexed="81"/>
            <rFont val="Tahoma"/>
            <family val="2"/>
          </rPr>
          <t>Datos iniciales</t>
        </r>
      </text>
    </comment>
    <comment ref="AB28"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4645BFD6-E12B-48C6-B9C6-9A6EC29F8A10}">
      <text>
        <r>
          <rPr>
            <sz val="9"/>
            <color indexed="81"/>
            <rFont val="Tahoma"/>
            <family val="2"/>
          </rPr>
          <t>Datos iniciales</t>
        </r>
      </text>
    </comment>
    <comment ref="AI28"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29" authorId="2" shapeId="0" xr:uid="{A905D698-C8E6-4E59-B172-037CFA1F7230}">
      <text>
        <r>
          <rPr>
            <sz val="9"/>
            <color indexed="81"/>
            <rFont val="Tahoma"/>
            <family val="2"/>
          </rPr>
          <t>Réplica del anterior. 
En esta columna se encuentran los resultados incluyendo solamente las actividades programadas por las áreas para el periodo objeto de medición.</t>
        </r>
      </text>
    </comment>
    <comment ref="AC29" authorId="2" shapeId="0" xr:uid="{E5B03C94-98C4-4EC1-AA5E-522F03A4B97D}">
      <text>
        <r>
          <rPr>
            <sz val="9"/>
            <color indexed="81"/>
            <rFont val="Tahoma"/>
            <family val="2"/>
          </rPr>
          <t>Réplica del anterior. 
En esta columna se encuentran los resultados incluyendo solamente las actividades programadas por las áreas para el periodo objeto de medición.</t>
        </r>
      </text>
    </comment>
    <comment ref="N30" authorId="2" shapeId="0" xr:uid="{EA1A3098-042C-4750-A6F6-B6A6BB13C5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0" authorId="2" shapeId="0" xr:uid="{DE9DF3AB-2D74-4740-8CD7-15537617ABD7}">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BA84896D-28CF-4C19-B559-761E4F19BD7D}">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11037F6E-8796-4AEF-9C96-01A1FD3CCB3C}">
      <text>
        <r>
          <rPr>
            <sz val="9"/>
            <color indexed="81"/>
            <rFont val="Tahoma"/>
            <family val="2"/>
          </rPr>
          <t>Réplica del anterior. 
En esta columna se encuentran los resultados incluyendo solamente las actividades programadas por las áreas para el periodo objeto de medición.</t>
        </r>
      </text>
    </comment>
    <comment ref="O31"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1"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1"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4"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4"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4"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4"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5"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6"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6"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6"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7"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9"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39"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0"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1" authorId="2" shapeId="0" xr:uid="{48266109-BC0C-499F-BDC0-F3F56E65BCEF}">
      <text>
        <r>
          <rPr>
            <sz val="9"/>
            <color indexed="81"/>
            <rFont val="Tahoma"/>
            <family val="2"/>
          </rPr>
          <t>Réplica del anterior. 
En esta columna se encuentran los resultados incluyendo solamente las actividades programadas por las áreas para el periodo objeto de medición.</t>
        </r>
      </text>
    </comment>
    <comment ref="V41"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3"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3"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4"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4"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7"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7"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49"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49"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49"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3" authorId="2" shapeId="0" xr:uid="{B3B1B8EE-86E2-4176-A9DD-DFED7FF3EE23}">
      <text>
        <r>
          <rPr>
            <sz val="9"/>
            <color indexed="81"/>
            <rFont val="Tahoma"/>
            <family val="2"/>
          </rPr>
          <t>Réplica del anterior. 
En esta columna se encuentran los resultados incluyendo solamente las actividades programadas por las áreas para el periodo objeto de medición.</t>
        </r>
      </text>
    </comment>
    <comment ref="AC53" authorId="2" shapeId="0" xr:uid="{25A67E37-6425-4ADC-8460-5DC8CCDE0FB4}">
      <text>
        <r>
          <rPr>
            <sz val="9"/>
            <color indexed="81"/>
            <rFont val="Tahoma"/>
            <family val="2"/>
          </rPr>
          <t>Réplica del anterior. 
En esta columna se encuentran los resultados incluyendo solamente las actividades programadas por las áreas para el periodo objeto de medición.</t>
        </r>
      </text>
    </comment>
    <comment ref="N55" authorId="2" shapeId="0" xr:uid="{A3466B4B-F512-4195-830D-7BC743C9FF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5" authorId="2" shapeId="0" xr:uid="{53E28949-17C3-42B8-A836-75C6DD790A9B}">
      <text>
        <r>
          <rPr>
            <sz val="9"/>
            <color indexed="81"/>
            <rFont val="Tahoma"/>
            <family val="2"/>
          </rPr>
          <t>Réplica del anterior. 
En esta columna se encuentran los resultados incluyendo solamente las actividades programadas por las áreas para el periodo objeto de medición.</t>
        </r>
      </text>
    </comment>
    <comment ref="V55" authorId="2" shapeId="0" xr:uid="{7B0065FF-3E95-4329-8807-E2DDFA48EC06}">
      <text>
        <r>
          <rPr>
            <sz val="9"/>
            <color indexed="81"/>
            <rFont val="Tahoma"/>
            <family val="2"/>
          </rPr>
          <t>Réplica del anterior. 
En esta columna se encuentran los resultados incluyendo solamente las actividades programadas por las áreas para el periodo objeto de medición.</t>
        </r>
      </text>
    </comment>
    <comment ref="AC55" authorId="2" shapeId="0" xr:uid="{C0FC16CD-F183-4761-860E-66A272A81D75}">
      <text>
        <r>
          <rPr>
            <sz val="9"/>
            <color indexed="81"/>
            <rFont val="Tahoma"/>
            <family val="2"/>
          </rPr>
          <t>Réplica del anterior. 
En esta columna se encuentran los resultados incluyendo solamente las actividades programadas por las áreas para el periodo objeto de medición.</t>
        </r>
      </text>
    </comment>
    <comment ref="V56"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6"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8"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8"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8"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8"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59" authorId="2" shapeId="0" xr:uid="{19DBE640-6797-4EC3-A3C1-27F0C815CC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59" authorId="2" shapeId="0" xr:uid="{59772909-C3EC-45FC-8C5C-95DF7C8E6454}">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C0845715-CA4A-4202-8EAD-80756F2E4A2A}">
      <text>
        <r>
          <rPr>
            <sz val="9"/>
            <color indexed="81"/>
            <rFont val="Tahoma"/>
            <family val="2"/>
          </rPr>
          <t>Réplica del anterior. 
En esta columna se encuentran los resultados incluyendo solamente las actividades programadas por las áreas para el periodo objeto de medición.</t>
        </r>
      </text>
    </comment>
    <comment ref="O60"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60"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60"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V64" authorId="2" shapeId="0" xr:uid="{ED78D756-ACFC-4652-B931-6EF1F14A3DCA}">
      <text>
        <r>
          <rPr>
            <sz val="9"/>
            <color indexed="81"/>
            <rFont val="Tahoma"/>
            <family val="2"/>
          </rPr>
          <t>Réplica del anterior. 
En esta columna se encuentran los resultados incluyendo solamente las actividades programadas por las áreas para el periodo objeto de medición.</t>
        </r>
      </text>
    </comment>
    <comment ref="AC64" authorId="2" shapeId="0" xr:uid="{6DFB8201-D72C-4FB6-94D8-FBC40BFA076C}">
      <text>
        <r>
          <rPr>
            <sz val="9"/>
            <color indexed="81"/>
            <rFont val="Tahoma"/>
            <family val="2"/>
          </rPr>
          <t>Réplica del anterior. 
En esta columna se encuentran los resultados incluyendo solamente las actividades programadas por las áreas para el periodo objeto de medición.</t>
        </r>
      </text>
    </comment>
    <comment ref="N65"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5"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6"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6"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6"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6"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7"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7"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7"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4"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4"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4"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4"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D1370583-CE95-4B3A-9CBD-5D656688C66B}">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918C8FE0-1772-4830-A365-2F80023A038B}">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B451B13E-8B27-487C-9E2F-2297C5D2386F}">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3C72E688-5E7A-46EE-9ABF-D9E6F30883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22ED1E30-B2E3-4BCE-B0E0-BBE00478F3E0}">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A41BB4BF-5670-4CF4-B460-9B631F5D2882}">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3DCF39A7-9BEA-4F71-84FD-A2B14B2024EE}">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41360003-2820-4CC4-93C6-373DF079E54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929A1030-8071-41C1-8BFE-AA55D7F404DC}">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E9BD07EB-D39C-4734-A569-924FEE48054F}">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4C87310C-CF9E-4EEF-8D7E-0C05E853E02B}">
      <text>
        <r>
          <rPr>
            <sz val="9"/>
            <color indexed="81"/>
            <rFont val="Tahoma"/>
            <family val="2"/>
          </rPr>
          <t>Réplica del anterior. 
En esta columna se encuentran los resultados incluyendo solamente las actividades programadas por las áreas para el periodo objeto de medición.</t>
        </r>
      </text>
    </comment>
    <comment ref="N92" authorId="2" shapeId="0" xr:uid="{B865C899-9A54-4E5F-B310-2524D70A070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2" authorId="2" shapeId="0" xr:uid="{F1F0AFB9-38C0-4232-A7B8-4D0C842177A2}">
      <text>
        <r>
          <rPr>
            <sz val="9"/>
            <color indexed="81"/>
            <rFont val="Tahoma"/>
            <family val="2"/>
          </rPr>
          <t>Réplica del anterior. 
En esta columna se encuentran los resultados incluyendo solamente las actividades programadas por las áreas para el periodo objeto de medición.</t>
        </r>
      </text>
    </comment>
    <comment ref="V92" authorId="2" shapeId="0" xr:uid="{4CA72D58-CFAE-4E29-887E-D37E79EA3348}">
      <text>
        <r>
          <rPr>
            <sz val="9"/>
            <color indexed="81"/>
            <rFont val="Tahoma"/>
            <family val="2"/>
          </rPr>
          <t>Réplica del anterior. 
En esta columna se encuentran los resultados incluyendo solamente las actividades programadas por las áreas para el periodo objeto de medición.</t>
        </r>
      </text>
    </comment>
    <comment ref="AC92" authorId="2" shapeId="0" xr:uid="{9FCAACB5-C14B-4195-9AC3-6805AF37AA55}">
      <text>
        <r>
          <rPr>
            <sz val="9"/>
            <color indexed="81"/>
            <rFont val="Tahoma"/>
            <family val="2"/>
          </rPr>
          <t>Réplica del anterior. 
En esta columna se encuentran los resultados incluyendo solamente las actividades programadas por las áreas para el periodo objeto de medición.</t>
        </r>
      </text>
    </comment>
    <comment ref="N93" authorId="2" shapeId="0" xr:uid="{247BDD7D-E775-4EE2-B863-DFA4FB5EC5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3" authorId="2" shapeId="0" xr:uid="{0508C3A2-3BED-4803-A713-EF628CCE23DE}">
      <text>
        <r>
          <rPr>
            <sz val="9"/>
            <color indexed="81"/>
            <rFont val="Tahoma"/>
            <family val="2"/>
          </rPr>
          <t>Réplica del anterior. 
En esta columna se encuentran los resultados incluyendo solamente las actividades programadas por las áreas para el periodo objeto de medición.</t>
        </r>
      </text>
    </comment>
    <comment ref="V93" authorId="2" shapeId="0" xr:uid="{FEAF7DCC-17AC-4A33-8BEC-E4B69338D042}">
      <text>
        <r>
          <rPr>
            <sz val="9"/>
            <color indexed="81"/>
            <rFont val="Tahoma"/>
            <family val="2"/>
          </rPr>
          <t>Réplica del anterior. 
En esta columna se encuentran los resultados incluyendo solamente las actividades programadas por las áreas para el periodo objeto de medición.</t>
        </r>
      </text>
    </comment>
    <comment ref="AC93" authorId="2" shapeId="0" xr:uid="{8A4C5E38-B073-45CC-BA9A-0A35F5777CE9}">
      <text>
        <r>
          <rPr>
            <sz val="9"/>
            <color indexed="81"/>
            <rFont val="Tahoma"/>
            <family val="2"/>
          </rPr>
          <t>Réplica del anterior. 
En esta columna se encuentran los resultados incluyendo solamente las actividades programadas por las áreas para el periodo objeto de medición.</t>
        </r>
      </text>
    </comment>
    <comment ref="N94" authorId="2" shapeId="0" xr:uid="{E811D1B2-EE19-46FF-8B35-8A47FD1678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4" authorId="2" shapeId="0" xr:uid="{199BD867-A2CA-42A6-B682-7BC9A3C3DD50}">
      <text>
        <r>
          <rPr>
            <sz val="9"/>
            <color indexed="81"/>
            <rFont val="Tahoma"/>
            <family val="2"/>
          </rPr>
          <t>Réplica del anterior. 
En esta columna se encuentran los resultados incluyendo solamente las actividades programadas por las áreas para el periodo objeto de medición.</t>
        </r>
      </text>
    </comment>
    <comment ref="V94" authorId="2" shapeId="0" xr:uid="{72F4AE60-DB04-422E-AFBD-36B2C807A81D}">
      <text>
        <r>
          <rPr>
            <sz val="9"/>
            <color indexed="81"/>
            <rFont val="Tahoma"/>
            <family val="2"/>
          </rPr>
          <t>Réplica del anterior. 
En esta columna se encuentran los resultados incluyendo solamente las actividades programadas por las áreas para el periodo objeto de medición.</t>
        </r>
      </text>
    </comment>
    <comment ref="AC94" authorId="2" shapeId="0" xr:uid="{6BB1CDF6-66E0-4B39-97EB-23CC7E70CC15}">
      <text>
        <r>
          <rPr>
            <sz val="9"/>
            <color indexed="81"/>
            <rFont val="Tahoma"/>
            <family val="2"/>
          </rPr>
          <t>Réplica del anterior. 
En esta columna se encuentran los resultados incluyendo solamente las actividades programadas por las áreas para el periodo objeto de medición.</t>
        </r>
      </text>
    </comment>
    <comment ref="N95" authorId="2" shapeId="0" xr:uid="{9139A21F-56E9-487D-B340-6F37787854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5" authorId="2" shapeId="0" xr:uid="{BEE8682A-AE55-40E6-806F-46007DB89280}">
      <text>
        <r>
          <rPr>
            <sz val="9"/>
            <color indexed="81"/>
            <rFont val="Tahoma"/>
            <family val="2"/>
          </rPr>
          <t>Réplica del anterior. 
En esta columna se encuentran los resultados incluyendo solamente las actividades programadas por las áreas para el periodo objeto de medición.</t>
        </r>
      </text>
    </comment>
    <comment ref="V95" authorId="2" shapeId="0" xr:uid="{324FB2D4-C392-4A7D-A0A3-123779D02A57}">
      <text>
        <r>
          <rPr>
            <sz val="9"/>
            <color indexed="81"/>
            <rFont val="Tahoma"/>
            <family val="2"/>
          </rPr>
          <t>Réplica del anterior. 
En esta columna se encuentran los resultados incluyendo solamente las actividades programadas por las áreas para el periodo objeto de medición.</t>
        </r>
      </text>
    </comment>
    <comment ref="AC95" authorId="2" shapeId="0" xr:uid="{8099FCAB-99B2-48D2-9CD7-312A34E4F23A}">
      <text>
        <r>
          <rPr>
            <sz val="9"/>
            <color indexed="81"/>
            <rFont val="Tahoma"/>
            <family val="2"/>
          </rPr>
          <t>Réplica del anterior. 
En esta columna se encuentran los resultados incluyendo solamente las actividades programadas por las áreas para el periodo objeto de medición.</t>
        </r>
      </text>
    </comment>
    <comment ref="N96" authorId="2" shapeId="0" xr:uid="{D72BE431-C440-4F5A-AC2E-3BE78354CC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6" authorId="2" shapeId="0" xr:uid="{FBBB8063-6E2F-4B9A-8381-55C4E4E53433}">
      <text>
        <r>
          <rPr>
            <sz val="9"/>
            <color indexed="81"/>
            <rFont val="Tahoma"/>
            <family val="2"/>
          </rPr>
          <t>Réplica del anterior. 
En esta columna se encuentran los resultados incluyendo solamente las actividades programadas por las áreas para el periodo objeto de medición.</t>
        </r>
      </text>
    </comment>
    <comment ref="V96" authorId="2" shapeId="0" xr:uid="{A62530EB-AABE-405A-96A7-2C21BD36AA25}">
      <text>
        <r>
          <rPr>
            <sz val="9"/>
            <color indexed="81"/>
            <rFont val="Tahoma"/>
            <family val="2"/>
          </rPr>
          <t>Réplica del anterior. 
En esta columna se encuentran los resultados incluyendo solamente las actividades programadas por las áreas para el periodo objeto de medición.</t>
        </r>
      </text>
    </comment>
    <comment ref="AC96" authorId="2" shapeId="0" xr:uid="{2961B6F3-4164-484A-99B0-ECEDF8F4307C}">
      <text>
        <r>
          <rPr>
            <sz val="9"/>
            <color indexed="81"/>
            <rFont val="Tahoma"/>
            <family val="2"/>
          </rPr>
          <t>Réplica del anterior. 
En esta columna se encuentran los resultados incluyendo solamente las actividades programadas por las áreas para el periodo objeto de medición.</t>
        </r>
      </text>
    </comment>
    <comment ref="N97"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7"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7"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7"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117" authorId="2" shapeId="0" xr:uid="{37F2B154-8B00-439E-A648-062DB078882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7"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7"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7" authorId="2" shapeId="0" xr:uid="{C01FB5DC-E7C0-48AE-AAB4-E6CFFE3B3080}">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B43FB599-9B77-4F44-9F9C-08A0A1340DFB}">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3F6B9F85-C329-4432-B7FF-986F8BD174DE}">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E695E1E9-FF52-4267-B328-E95844FEE3D2}">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901F62DF-7A49-4AF4-BDB6-85FA4C661AF5}">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F83A703E-B72D-448B-BCAA-F8FEC02D42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41D85BA4-9437-4019-B568-9C9ADB1ED548}">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0446801B-3628-4538-A637-68E85B015E7F}">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59BA01C0-9545-4627-A532-55C200FE5235}">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4EBDD826-2668-4530-A4E7-5283DF6162E6}">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27"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7"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27"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27"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8"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28"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28"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29"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9"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29"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29"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31"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2" authorId="2" shapeId="0" xr:uid="{C7F5990C-60EE-42C3-B083-200CCBD9EB1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6"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7"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8"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4"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5"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6"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F91709A5-43EB-418E-AFF1-5948A6EC74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0"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1"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2"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3"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4"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5" authorId="2" shapeId="0" xr:uid="{8D3657AF-9AED-4D6F-A3C3-85576FD7B0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5" authorId="2" shapeId="0" xr:uid="{500E9F08-4404-448D-A0CC-33994B972404}">
      <text>
        <r>
          <rPr>
            <sz val="9"/>
            <color indexed="81"/>
            <rFont val="Tahoma"/>
            <family val="2"/>
          </rPr>
          <t>Réplica del anterior. 
En esta columna se encuentran los resultados incluyendo solamente las actividades programadas por las áreas para el periodo objeto de medición.</t>
        </r>
      </text>
    </comment>
    <comment ref="AC165" authorId="2" shapeId="0" xr:uid="{F7C4BA03-50D9-4282-BFB2-797F63AF5401}">
      <text>
        <r>
          <rPr>
            <sz val="9"/>
            <color indexed="81"/>
            <rFont val="Tahoma"/>
            <family val="2"/>
          </rPr>
          <t>Réplica del anterior. 
En esta columna se encuentran los resultados incluyendo solamente las actividades programadas por las áreas para el periodo objeto de medición.</t>
        </r>
      </text>
    </comment>
    <comment ref="N166" authorId="2" shapeId="0" xr:uid="{D740E5CA-97D5-4BFB-98DA-6AC3BC47F1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6" authorId="2" shapeId="0" xr:uid="{79D13BCA-99B5-4CE0-94E2-0492797528C9}">
      <text>
        <r>
          <rPr>
            <sz val="9"/>
            <color indexed="81"/>
            <rFont val="Tahoma"/>
            <family val="2"/>
          </rPr>
          <t>Réplica del anterior. 
En esta columna se encuentran los resultados incluyendo solamente las actividades programadas por las áreas para el periodo objeto de medición.</t>
        </r>
      </text>
    </comment>
    <comment ref="AC166" authorId="2" shapeId="0" xr:uid="{DB5226A7-9117-4910-BA0F-2DA5EEFA41E5}">
      <text>
        <r>
          <rPr>
            <sz val="9"/>
            <color indexed="81"/>
            <rFont val="Tahoma"/>
            <family val="2"/>
          </rPr>
          <t>Réplica del anterior. 
En esta columna se encuentran los resultados incluyendo solamente las actividades programadas por las áreas para el periodo objeto de medición.</t>
        </r>
      </text>
    </comment>
    <comment ref="N167" authorId="2" shapeId="0" xr:uid="{3E4BD3D8-BD28-4433-8A21-975A5796977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7" authorId="2" shapeId="0" xr:uid="{08062CE5-A62D-4121-A87A-7D67EB06C9FF}">
      <text>
        <r>
          <rPr>
            <sz val="9"/>
            <color indexed="81"/>
            <rFont val="Tahoma"/>
            <family val="2"/>
          </rPr>
          <t>Réplica del anterior. 
En esta columna se encuentran los resultados incluyendo solamente las actividades programadas por las áreas para el periodo objeto de medición.</t>
        </r>
      </text>
    </comment>
    <comment ref="N168"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8"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69"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9"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70"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0"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71"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1"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72" authorId="2" shapeId="0" xr:uid="{21BE4A9C-4D69-442E-89C3-2D2815B41B0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2" authorId="2" shapeId="0" xr:uid="{4D5E8F1C-5833-437C-9897-A11708BD1BF7}">
      <text>
        <r>
          <rPr>
            <sz val="9"/>
            <color indexed="81"/>
            <rFont val="Tahoma"/>
            <family val="2"/>
          </rPr>
          <t>Réplica del anterior. 
En esta columna se encuentran los resultados incluyendo solamente las actividades programadas por las áreas para el periodo objeto de medición.</t>
        </r>
      </text>
    </comment>
    <comment ref="N173"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3"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74" authorId="2" shapeId="0" xr:uid="{3292313E-B63B-4A42-968C-2D2345F0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4" authorId="2" shapeId="0" xr:uid="{A3D80D63-1AAF-4095-8B81-E9A4DD84891C}">
      <text>
        <r>
          <rPr>
            <sz val="9"/>
            <color indexed="81"/>
            <rFont val="Tahoma"/>
            <family val="2"/>
          </rPr>
          <t>Réplica del anterior. 
En esta columna se encuentran los resultados incluyendo solamente las actividades programadas por las áreas para el periodo objeto de medición.</t>
        </r>
      </text>
    </comment>
    <comment ref="N175"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6"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7"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8"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9"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0"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1"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C9E94E25-E69C-4A85-AEA0-E69693F177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2"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3147C486-6572-4275-8F04-41ECD14FEAC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8"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3"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23C92458-227F-4D2E-A0B7-8B44AB6E51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3"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6E38CB50-E8D9-454F-ADEA-B2FD93B666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9"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U234" authorId="2" shapeId="0" xr:uid="{2D55DDC6-9222-48E9-A925-2088A0DA8B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B234" authorId="2" shapeId="0" xr:uid="{F289D147-E9D2-444C-AF51-58CC16B2A9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DE42F5D5-47B8-4DC0-8AE3-EA2A650F18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520101A3-E4CF-4A91-AA2A-74606CEA39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0"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1"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BFEC1EE4-9D63-40A6-A6B4-4DD52CC856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DCD618A4-D625-4648-BE7A-194B05533B2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8"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66C45FD1-A9CB-48D6-9BFF-B2824D781D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EDD73E05-0C3D-4D7F-94C4-568043925A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8D0F3AF0-CFAD-447E-A5D7-67D9B920D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8"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9"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7"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8"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9"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0"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1"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6"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7" authorId="2" shapeId="0" xr:uid="{B1C555CC-9EE9-4444-88C5-F722092C25D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8"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9"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0"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1" authorId="2" shapeId="0" xr:uid="{A2FD24DF-76D4-4B14-A0E1-2C5A51FACB0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2"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3"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4"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5"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6"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7"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8"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9"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<sst xmlns="http://schemas.openxmlformats.org/spreadsheetml/2006/main" count="7767" uniqueCount="1792">
  <si>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</si>
  <si>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</si>
  <si>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</si>
  <si>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</si>
  <si>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</si>
  <si>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</si>
  <si>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</si>
  <si>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</si>
  <si>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</si>
  <si>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</si>
  <si>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</si>
  <si>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</si>
  <si>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</si>
  <si>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</si>
  <si>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</si>
  <si>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</si>
  <si>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</si>
  <si>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</si>
  <si>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</si>
  <si>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</si>
  <si>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</si>
  <si>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</si>
  <si>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</si>
  <si>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</si>
  <si>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</si>
  <si>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</si>
  <si>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</si>
  <si>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</si>
  <si>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</si>
  <si>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</si>
  <si>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</si>
  <si>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</si>
  <si>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</si>
  <si>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</si>
  <si>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</si>
  <si>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</si>
  <si>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</si>
  <si>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</si>
  <si>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</si>
  <si>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</si>
  <si>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</si>
  <si>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</si>
  <si>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</si>
  <si>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</si>
  <si>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</si>
  <si>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</si>
  <si>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</si>
  <si>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</si>
  <si>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</si>
  <si>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</si>
  <si>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</si>
  <si>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</si>
  <si>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</si>
  <si>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</si>
  <si>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</si>
  <si>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</si>
  <si>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</si>
  <si>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</si>
  <si>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</si>
  <si>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</si>
  <si>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</si>
  <si>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</si>
  <si>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</si>
  <si>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</si>
  <si>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</si>
  <si>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</si>
  <si>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</si>
  <si>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</si>
  <si>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</si>
  <si>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</si>
  <si>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</si>
  <si>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</si>
  <si>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</si>
  <si>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</si>
  <si>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</si>
  <si>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</si>
  <si>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</si>
  <si>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</si>
  <si>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</si>
  <si>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</si>
  <si>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</si>
  <si>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</si>
  <si>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</si>
  <si>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</si>
  <si>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</si>
  <si>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</si>
  <si>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</si>
  <si>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</si>
  <si>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</si>
  <si>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</si>
  <si>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</si>
  <si>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</si>
  <si>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</si>
  <si>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</si>
  <si>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</si>
  <si>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</si>
  <si>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</si>
  <si>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</si>
  <si>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</si>
  <si>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</si>
  <si>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</si>
  <si>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</si>
  <si>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</si>
  <si>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</si>
  <si>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</si>
  <si>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</si>
  <si>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</si>
  <si>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</si>
  <si>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</si>
  <si>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</si>
  <si>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</si>
  <si>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</si>
  <si>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</si>
  <si>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</si>
  <si>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</si>
  <si>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</si>
  <si>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</si>
  <si>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</si>
  <si>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</si>
  <si>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</si>
  <si>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</si>
  <si>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</si>
  <si>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</si>
  <si>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</si>
  <si>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</si>
  <si>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</si>
  <si>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</si>
  <si>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</si>
  <si>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</si>
  <si>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</si>
  <si>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</si>
  <si>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</si>
  <si>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</si>
  <si>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</si>
  <si>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</si>
  <si>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</si>
  <si>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</si>
  <si>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</si>
  <si>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</si>
  <si>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</si>
  <si>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</si>
  <si>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</si>
  <si>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</si>
  <si>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</si>
  <si>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</si>
  <si>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</si>
  <si>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</si>
  <si>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</si>
  <si>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</si>
  <si>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</si>
  <si>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</si>
  <si>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</si>
  <si>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</si>
  <si>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</si>
  <si>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</si>
  <si>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</si>
  <si>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</si>
  <si>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</si>
  <si>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</si>
  <si>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</si>
  <si>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</si>
  <si>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</si>
  <si>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</si>
  <si>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</si>
  <si>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</si>
  <si>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</si>
  <si>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</si>
  <si>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</si>
  <si>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</si>
  <si>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</si>
  <si>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</si>
  <si>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</si>
  <si>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</si>
  <si>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</si>
  <si>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</si>
  <si>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</si>
  <si>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</si>
  <si>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</si>
  <si>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</si>
  <si>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</si>
  <si>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</si>
  <si>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</si>
  <si>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</si>
  <si>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</si>
  <si>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</si>
  <si>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</si>
  <si>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</si>
  <si>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</si>
  <si>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</si>
  <si>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</si>
  <si>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</si>
  <si>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</si>
  <si>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</si>
  <si>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</si>
  <si>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</si>
  <si>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</si>
  <si>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</si>
  <si>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</si>
  <si>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</si>
  <si>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</si>
  <si>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</si>
  <si>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</si>
  <si>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</si>
  <si>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</si>
  <si>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</si>
  <si>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</si>
  <si>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</si>
  <si>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</si>
  <si>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</si>
  <si>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</si>
  <si>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</si>
  <si>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</si>
  <si>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</si>
  <si>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</si>
  <si>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</si>
  <si>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</si>
  <si>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</si>
  <si>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</si>
  <si>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</si>
  <si>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</si>
  <si>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</si>
  <si>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</si>
  <si>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</si>
  <si>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</si>
  <si>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</si>
  <si>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</si>
  <si>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</si>
  <si>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</si>
  <si>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</si>
  <si>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</si>
  <si>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</si>
  <si>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</si>
  <si>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</si>
  <si>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</si>
  <si>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</si>
  <si>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</si>
  <si>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</si>
  <si>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</si>
  <si>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</si>
  <si>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</si>
  <si>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</si>
  <si>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</si>
  <si>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</si>
  <si>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</si>
  <si>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</si>
  <si>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</si>
  <si>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</si>
  <si>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</si>
  <si>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</si>
  <si>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</si>
  <si>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</si>
  <si>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</si>
  <si>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</si>
  <si>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</si>
  <si>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</si>
  <si>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</si>
  <si>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</si>
  <si>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</si>
  <si>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</si>
  <si>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</si>
  <si>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</si>
  <si>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</si>
  <si>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</si>
  <si>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</si>
  <si>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</si>
  <si>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</si>
  <si>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</si>
  <si>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</si>
  <si>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</si>
  <si>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</si>
  <si>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</si>
  <si>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</si>
  <si>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</si>
  <si>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</si>
  <si>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</si>
  <si>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</si>
  <si>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</si>
  <si>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</si>
  <si>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</si>
  <si>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</si>
  <si>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</si>
  <si>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</si>
  <si>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</si>
  <si>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</si>
  <si>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</si>
  <si>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</si>
  <si>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</si>
  <si>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</si>
  <si>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</si>
  <si>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</si>
  <si>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</si>
  <si>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</si>
  <si>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</si>
  <si>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</si>
  <si>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</si>
  <si>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</si>
  <si>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</si>
  <si>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</si>
  <si>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</si>
  <si>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</si>
  <si>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</si>
  <si>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</si>
  <si>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</si>
  <si>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</si>
  <si>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</si>
  <si>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</si>
  <si>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</si>
  <si>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</si>
  <si>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</si>
  <si>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</si>
  <si>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</si>
  <si>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</si>
  <si>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</si>
  <si>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</si>
  <si>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</si>
  <si>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</si>
  <si>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</si>
  <si>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</si>
  <si>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</si>
  <si>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</si>
  <si>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</si>
  <si>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</si>
  <si>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</si>
  <si>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</si>
  <si>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</si>
  <si>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</si>
  <si>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</si>
  <si>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</si>
  <si>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</si>
  <si>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</si>
  <si>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</si>
  <si>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</si>
  <si>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</si>
  <si>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</si>
  <si>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</si>
  <si>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</si>
  <si>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</si>
  <si>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</si>
  <si>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</si>
  <si>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</si>
  <si>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</si>
  <si>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</si>
  <si>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</si>
  <si>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</si>
  <si>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</si>
  <si>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</si>
  <si>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</si>
  <si>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</si>
  <si>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</si>
  <si>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</si>
  <si>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</si>
  <si>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</si>
  <si>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</si>
  <si>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</si>
  <si>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</si>
  <si>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</si>
  <si>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</si>
  <si>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</si>
  <si>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</si>
  <si>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</si>
  <si>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</si>
  <si>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</si>
  <si>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</si>
  <si>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</si>
  <si>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</si>
  <si>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</si>
  <si>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</si>
  <si>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</si>
  <si>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</si>
  <si>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</si>
  <si>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</si>
  <si>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</si>
  <si>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</si>
  <si>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</si>
  <si>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</si>
  <si>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</si>
  <si>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</si>
  <si>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</si>
  <si>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</si>
  <si>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</si>
  <si>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</si>
  <si>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</si>
  <si>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</si>
  <si>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</si>
  <si>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</si>
  <si>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</si>
  <si>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</si>
  <si>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</si>
  <si>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</si>
  <si>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</si>
  <si>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</si>
  <si>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</si>
  <si>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</si>
  <si>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</si>
  <si>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</si>
  <si>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</si>
  <si>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</si>
  <si>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</si>
  <si>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</si>
  <si>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</si>
  <si>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</si>
  <si>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</si>
  <si>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</si>
  <si>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</si>
  <si>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</si>
  <si>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</si>
  <si>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</si>
  <si>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</si>
  <si>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</si>
  <si>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</si>
  <si>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</si>
  <si>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</si>
  <si>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</si>
  <si>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</si>
  <si>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</si>
  <si>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 xml:space="preserve">Solicitar la publicación del los giros ordenados por recobros </t>
  </si>
  <si>
    <t>Solicitar la publicación del los giros ordenados por reclamaciones</t>
  </si>
  <si>
    <t xml:space="preserve"># Procesos de liquidación y reconocimiento de licencias de maternidad y paternidad ejecutados </t>
  </si>
  <si>
    <t xml:space="preserve"># Comunicaciones de ordenación de gasto del giro previo </t>
  </si>
  <si>
    <t># Solicitudes de publicación de giros por recobros / # ordenaciones de giros por recobros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</si>
  <si>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</si>
  <si>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</si>
  <si>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</si>
  <si>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</si>
  <si>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</si>
  <si>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</si>
  <si>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</si>
  <si>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</si>
  <si>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</si>
  <si>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</si>
  <si>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</si>
  <si>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</si>
  <si>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</si>
  <si>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</si>
  <si>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</si>
  <si>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</si>
  <si>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 xml:space="preserve">Unidad    </t>
  </si>
  <si>
    <t>Correos electrónicos con el monitoreo de noticias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</si>
  <si>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</si>
  <si>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</si>
  <si>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Revisión, análisis y liquidación de sentencias condenatorias</t>
  </si>
  <si>
    <t>Entrega de la provisión de contingencias judiciales al Grupo de Gestión Contable y Control de Recursos ET en la fecha pactada</t>
  </si>
  <si>
    <t>Tiempo (días)</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</si>
  <si>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</si>
  <si>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</si>
  <si>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</si>
  <si>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</si>
  <si>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</si>
  <si>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</si>
  <si>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</si>
  <si>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</si>
  <si>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</si>
  <si>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</si>
  <si>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</si>
  <si>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</si>
  <si>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</si>
  <si>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</si>
  <si>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</si>
  <si>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</si>
  <si>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</si>
  <si>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</si>
  <si>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</si>
  <si>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</si>
  <si>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</si>
  <si>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</si>
  <si>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</si>
  <si>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</si>
  <si>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</si>
  <si>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</si>
  <si>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</si>
  <si>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</si>
  <si>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</si>
  <si>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</si>
  <si>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</si>
  <si>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</si>
  <si>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</si>
  <si>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</si>
  <si>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</si>
  <si>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</si>
  <si>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</si>
  <si>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</si>
  <si>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</si>
  <si>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</si>
  <si>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</si>
  <si>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</si>
  <si>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</si>
  <si>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</si>
  <si>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</si>
  <si>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</si>
  <si>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</si>
  <si>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</si>
  <si>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</si>
  <si>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</si>
  <si>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</si>
  <si>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</si>
  <si>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</si>
  <si>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Conciliar con el Grupo de Tesorería de la DGRFS los pagos realizados por los terceros deudores con ocasión de los acuerdos de pago</t>
  </si>
  <si>
    <t>Pagos registrados en el SII PRE Procesos de repetición</t>
  </si>
  <si>
    <t>Pago de la cartera vendida a CISA S.A de resoluciones ejecutoriadas con mas de 180 días</t>
  </si>
  <si>
    <t>Otro sí al convenio especificando las necesidades y acceso a la información</t>
  </si>
  <si>
    <t>Estudiar el convenio 370 del 2015 suscrito con el Ministerio de Transporte  y adelantar las gestiones que correspondan para que se amplíen los criterios de acceso a la información a la plataforma del RUNT</t>
  </si>
  <si>
    <t>Convenios o contratos interadministrativos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</si>
  <si>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</si>
  <si>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</si>
  <si>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</si>
  <si>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</si>
  <si>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</si>
  <si>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</si>
  <si>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</si>
  <si>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</si>
  <si>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</si>
  <si>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</si>
  <si>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Actualizar de manera colaborativa la Política del Sistema Integrado de Administración de Riesgos de la ADRES.</t>
  </si>
  <si>
    <t># Módulos tecnológicos en el CRM como herramienta de medición de oportunidad de respuestas a PQRSD implementados.</t>
  </si>
  <si>
    <t># Políticas aprobadas y publicadas en la página Web</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</si>
  <si>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</si>
  <si>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</si>
  <si>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</si>
  <si>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</si>
  <si>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</si>
  <si>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</si>
  <si>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</si>
  <si>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</si>
  <si>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</si>
  <si>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</si>
  <si>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</si>
  <si>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</si>
  <si>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</si>
  <si>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</si>
  <si>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</si>
  <si>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</si>
  <si>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</si>
  <si>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</si>
  <si>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</si>
  <si>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</si>
  <si>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</si>
  <si>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Jornadas de socialización de la Política actualizada a funcionarios y contratistas</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</si>
  <si>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</si>
  <si>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</si>
  <si>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</si>
  <si>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</si>
  <si>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</si>
  <si>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</si>
  <si>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</si>
  <si>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</si>
  <si>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</si>
  <si>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</si>
  <si>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</si>
  <si>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</si>
  <si>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</si>
  <si>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</si>
  <si>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</si>
  <si>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</si>
  <si>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</si>
  <si>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</si>
  <si>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</si>
  <si>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</si>
  <si>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</si>
  <si>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</si>
  <si>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</si>
  <si>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</si>
  <si>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</si>
  <si>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</si>
  <si>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</si>
  <si>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</si>
  <si>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</si>
  <si>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</si>
  <si>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</si>
  <si>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</si>
  <si>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</si>
  <si>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</si>
  <si>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</si>
  <si>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</si>
  <si>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</si>
  <si>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</si>
  <si>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</si>
  <si>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</si>
  <si>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</si>
  <si>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</si>
  <si>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</si>
  <si>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</si>
  <si>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</si>
  <si>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</si>
  <si>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</si>
  <si>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</si>
  <si>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</si>
  <si>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</si>
  <si>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</si>
  <si>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</si>
  <si>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</si>
  <si>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</si>
  <si>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</si>
  <si>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</si>
  <si>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</si>
  <si>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</si>
  <si>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</si>
  <si>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</si>
  <si>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</si>
  <si>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</si>
  <si>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</si>
  <si>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</si>
  <si>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</si>
  <si>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</si>
  <si>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</si>
  <si>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</si>
  <si>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</si>
  <si>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</si>
  <si>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</si>
  <si>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</si>
  <si>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</si>
  <si>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</si>
  <si>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Poner en funcionamiento de un digiturno, de acuerdo a las especificaciones técnicas definidas por ADRES y evaluación satisfacción usuarios</t>
  </si>
  <si>
    <t>Digiturno puesto a disposición de los ciudadanos que acuden al punto de atención presencial de la ADRES</t>
  </si>
  <si>
    <t># Digiturnos puestos en funcionamiento</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</si>
  <si>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</si>
  <si>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</si>
  <si>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</si>
  <si>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</si>
  <si>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</si>
  <si>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</si>
  <si>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</si>
  <si>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</si>
  <si>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</si>
  <si>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</si>
  <si>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</si>
  <si>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</si>
  <si>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</si>
  <si>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</si>
  <si>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</si>
  <si>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</si>
  <si>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</si>
  <si>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</si>
  <si>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</si>
  <si>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</si>
  <si>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</si>
  <si>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</si>
  <si>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</si>
  <si>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</si>
  <si>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</si>
  <si>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</si>
  <si>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</si>
  <si>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</si>
  <si>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</si>
  <si>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</si>
  <si>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</si>
  <si>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</si>
  <si>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Actualizar las bases de información sobre la gestión del cobro coactivo</t>
  </si>
  <si>
    <t>Bases de información actualizadas</t>
  </si>
  <si>
    <t>11900-1-1-1-1</t>
  </si>
  <si>
    <t>11900-1-1-2</t>
  </si>
  <si>
    <t>11900-1-1-2-1</t>
  </si>
  <si>
    <t>11900-1-1-3</t>
  </si>
  <si>
    <t>11900-1-1-3-1</t>
  </si>
  <si>
    <t>11900-1-15</t>
  </si>
  <si>
    <t>11900-1-15-1</t>
  </si>
  <si>
    <t>11900-1-16</t>
  </si>
  <si>
    <t>11900-1-17-1</t>
  </si>
  <si>
    <t>11900-1-18</t>
  </si>
  <si>
    <t>11900-1-18-1</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</si>
  <si>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</si>
  <si>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</si>
  <si>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</si>
  <si>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</si>
  <si>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</si>
  <si>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</si>
  <si>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</si>
  <si>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</si>
  <si>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</si>
  <si>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</si>
  <si>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</si>
  <si>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</si>
  <si>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 xml:space="preserve"> Documentos del SG-SST actualizados</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</si>
  <si>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</si>
  <si>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</si>
  <si>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</si>
  <si>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</si>
  <si>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</si>
  <si>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</si>
  <si>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</si>
  <si>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</si>
  <si>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</si>
  <si>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</si>
  <si>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</si>
  <si>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</si>
  <si>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</si>
  <si>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</si>
  <si>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</si>
  <si>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</si>
  <si>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</si>
  <si>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</si>
  <si>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</si>
  <si>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</si>
  <si>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</si>
  <si>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</si>
  <si>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</si>
  <si>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</si>
  <si>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</si>
  <si>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</si>
  <si>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</si>
  <si>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</si>
  <si>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</si>
  <si>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</si>
  <si>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</si>
  <si>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</si>
  <si>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</si>
  <si>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</si>
  <si>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</si>
  <si>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</si>
  <si>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</si>
  <si>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</si>
  <si>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</si>
  <si>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</si>
  <si>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</si>
  <si>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</si>
  <si>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</si>
  <si>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</si>
  <si>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</si>
  <si>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</si>
  <si>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</si>
  <si>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</si>
  <si>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</si>
  <si>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</si>
  <si>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</si>
  <si>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</si>
  <si>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</si>
  <si>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</si>
  <si>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</si>
  <si>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</si>
  <si>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</si>
  <si>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</si>
  <si>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</si>
  <si>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</si>
  <si>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</si>
  <si>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</si>
  <si>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</si>
  <si>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</si>
  <si>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</si>
  <si>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</si>
  <si>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</si>
  <si>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</si>
  <si>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</si>
  <si>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</si>
  <si>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</si>
  <si>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</si>
  <si>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</si>
  <si>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</si>
  <si>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</si>
  <si>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</si>
  <si>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</si>
  <si>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</si>
  <si>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</si>
  <si>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</si>
  <si>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</si>
  <si>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</si>
  <si>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</si>
  <si>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</si>
  <si>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</si>
  <si>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</si>
  <si>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</si>
  <si>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</si>
  <si>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</si>
  <si>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</si>
  <si>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</si>
  <si>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</si>
  <si>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</si>
  <si>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</si>
  <si>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</si>
  <si>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</si>
  <si>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</si>
  <si>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</si>
  <si>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</si>
  <si>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</si>
  <si>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</si>
  <si>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</si>
  <si>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</si>
  <si>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</si>
  <si>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</si>
  <si>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</si>
  <si>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</si>
  <si>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</si>
  <si>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</si>
  <si>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</si>
  <si>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</si>
  <si>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</si>
  <si>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</si>
  <si>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</si>
  <si>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</si>
  <si>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</si>
  <si>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</si>
  <si>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</si>
  <si>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</si>
  <si>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</si>
  <si>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</si>
  <si>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</si>
  <si>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11700-1-36</t>
  </si>
  <si>
    <t>11700-1-37</t>
  </si>
  <si>
    <t>11700-1-38</t>
  </si>
  <si>
    <t>11700-1-42</t>
  </si>
  <si>
    <t>11700-1-43</t>
  </si>
  <si>
    <t>11700-1-27-1</t>
  </si>
  <si>
    <t>11700-1-28-1</t>
  </si>
  <si>
    <t>11700-1-29-1</t>
  </si>
  <si>
    <t>11700-1-30-1</t>
  </si>
  <si>
    <t>11700-1-31-1</t>
  </si>
  <si>
    <t>11700-1-36-1</t>
  </si>
  <si>
    <t>11700-1-37-1</t>
  </si>
  <si>
    <t>11700-1-38-1</t>
  </si>
  <si>
    <t>11700-1-42-1</t>
  </si>
  <si>
    <t>11700-1-43-1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</si>
  <si>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</si>
  <si>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</si>
  <si>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</si>
  <si>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</si>
  <si>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</si>
  <si>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</si>
  <si>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</si>
  <si>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</si>
  <si>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</si>
  <si>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</si>
  <si>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</si>
  <si>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</si>
  <si>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</si>
  <si>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</si>
  <si>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</si>
  <si>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</si>
  <si>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</si>
  <si>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</si>
  <si>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</si>
  <si>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</si>
  <si>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</si>
  <si>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</si>
  <si>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 Actividades de bienestar realizadas</t>
  </si>
  <si>
    <t>11700-1-46</t>
  </si>
  <si>
    <t>11700-1-47</t>
  </si>
  <si>
    <t>11700-1-48</t>
  </si>
  <si>
    <t>11700-1-49</t>
  </si>
  <si>
    <t>11700-1-50</t>
  </si>
  <si>
    <t>11700-1-51</t>
  </si>
  <si>
    <t>11700-1-52</t>
  </si>
  <si>
    <t>11700-1-53</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</si>
  <si>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</si>
  <si>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</si>
  <si>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</si>
  <si>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</si>
  <si>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</si>
  <si>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</si>
  <si>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</si>
  <si>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</si>
  <si>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</si>
  <si>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</si>
  <si>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</si>
  <si>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</si>
  <si>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</si>
  <si>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</si>
  <si>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</si>
  <si>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</si>
  <si>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</si>
  <si>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</si>
  <si>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</si>
  <si>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</si>
  <si>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</si>
  <si>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</si>
  <si>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</si>
  <si>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</si>
  <si>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</si>
  <si>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</si>
  <si>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</si>
  <si>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</si>
  <si>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</si>
  <si>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</si>
  <si>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</si>
  <si>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</si>
  <si>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</si>
  <si>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</si>
  <si>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</si>
  <si>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</si>
  <si>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</si>
  <si>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</si>
  <si>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</si>
  <si>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</si>
  <si>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</si>
  <si>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</si>
  <si>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</si>
  <si>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</si>
  <si>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</si>
  <si>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</si>
  <si>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</si>
  <si>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</si>
  <si>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</si>
  <si>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</si>
  <si>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</si>
  <si>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</si>
  <si>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</si>
  <si>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</si>
  <si>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</si>
  <si>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</si>
  <si>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</si>
  <si>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</si>
  <si>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</si>
  <si>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</si>
  <si>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</si>
  <si>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</si>
  <si>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</si>
  <si>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</si>
  <si>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</si>
  <si>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</si>
  <si>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</si>
  <si>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</si>
  <si>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</si>
  <si>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</si>
  <si>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</si>
  <si>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</si>
  <si>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</si>
  <si>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</si>
  <si>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</si>
  <si>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</si>
  <si>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</si>
  <si>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Sensibilizar a la ciudadanía y partes interesadas sobre la rendición de cuentas y la importancia de su participación en los procesos, a través de medios electrónicos, con el fin de incentivarlos a participar en este proceso.</t>
  </si>
  <si>
    <t>Realizar la audiencia pública de rendición de cuentas y comunicar los resultados a la ciudadanía y partes interesadas.</t>
  </si>
  <si>
    <t>Realizar la rendición de cuentas interna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</si>
  <si>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</si>
  <si>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</si>
  <si>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</si>
  <si>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</si>
  <si>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</si>
  <si>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</si>
  <si>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</si>
  <si>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</si>
  <si>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</si>
  <si>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</si>
  <si>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</si>
  <si>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</si>
  <si>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</si>
  <si>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</si>
  <si>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</si>
  <si>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</si>
  <si>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</si>
  <si>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</si>
  <si>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</si>
  <si>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</si>
  <si>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</si>
  <si>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</si>
  <si>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</si>
  <si>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</si>
  <si>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</si>
  <si>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</si>
  <si>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</si>
  <si>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</si>
  <si>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</si>
  <si>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</si>
  <si>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</si>
  <si>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</si>
  <si>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</si>
  <si>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</si>
  <si>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</si>
  <si>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</si>
  <si>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</si>
  <si>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</si>
  <si>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</si>
  <si>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</si>
  <si>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</si>
  <si>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</si>
  <si>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</si>
  <si>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</si>
  <si>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</si>
  <si>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</si>
  <si>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</si>
  <si>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</si>
  <si>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</si>
  <si>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</si>
  <si>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</si>
  <si>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</si>
  <si>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</si>
  <si>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</si>
  <si>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</si>
  <si>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</si>
  <si>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</si>
  <si>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</si>
  <si>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</si>
  <si>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</si>
  <si>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</si>
  <si>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</si>
  <si>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</si>
  <si>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</si>
  <si>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</si>
  <si>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</si>
  <si>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</si>
  <si>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</si>
  <si>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</si>
  <si>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</si>
  <si>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</si>
  <si>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</si>
  <si>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</si>
  <si>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</si>
  <si>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</si>
  <si>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</si>
  <si>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</si>
  <si>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</si>
  <si>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</si>
  <si>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</si>
  <si>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</si>
  <si>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</si>
  <si>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</si>
  <si>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</si>
  <si>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</si>
  <si>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</si>
  <si>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</si>
  <si>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</si>
  <si>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</si>
  <si>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</si>
  <si>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</si>
  <si>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</si>
  <si>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</si>
  <si>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</si>
  <si>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</si>
  <si>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</si>
  <si>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</si>
  <si>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</si>
  <si>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</si>
  <si>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</si>
  <si>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</si>
  <si>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</si>
  <si>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</si>
  <si>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</si>
  <si>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</si>
  <si>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</si>
  <si>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</si>
  <si>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</si>
  <si>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</si>
  <si>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</si>
  <si>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</si>
  <si>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</si>
  <si>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</si>
  <si>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</si>
  <si>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</si>
  <si>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</si>
  <si>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</si>
  <si>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</si>
  <si>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</si>
  <si>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</si>
  <si>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</si>
  <si>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</si>
  <si>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</si>
  <si>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</si>
  <si>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</si>
  <si>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</si>
  <si>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</si>
  <si>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</si>
  <si>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</si>
  <si>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</si>
  <si>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</si>
  <si>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</si>
  <si>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</si>
  <si>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</si>
  <si>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</si>
  <si>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</si>
  <si>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</si>
  <si>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</si>
  <si>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</si>
  <si>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</si>
  <si>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</si>
  <si>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</si>
  <si>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</si>
  <si>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</si>
  <si>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</si>
  <si>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</si>
  <si>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</si>
  <si>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</si>
  <si>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</si>
  <si>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</si>
  <si>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</si>
  <si>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</si>
  <si>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</si>
  <si>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</si>
  <si>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</si>
  <si>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</si>
  <si>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</si>
  <si>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</si>
  <si>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</si>
  <si>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 xml:space="preserve">Porcentaje </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</si>
  <si>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</si>
  <si>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</si>
  <si>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</si>
  <si>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</si>
  <si>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</si>
  <si>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</si>
  <si>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</si>
  <si>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</si>
  <si>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</si>
  <si>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</si>
  <si>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</si>
  <si>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</si>
  <si>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</si>
  <si>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</si>
  <si>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11700-1-37-2</t>
  </si>
  <si>
    <t>11700-1-38-2</t>
  </si>
  <si>
    <t>11700-1-38-3</t>
  </si>
  <si>
    <t>11700-1-38-4</t>
  </si>
  <si>
    <t>11700-1-38-5</t>
  </si>
  <si>
    <t>11700-1-38-6</t>
  </si>
  <si>
    <t>11700-1-43-2</t>
  </si>
  <si>
    <t>11700-1-43-4</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</si>
  <si>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</si>
  <si>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</si>
  <si>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</si>
  <si>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</si>
  <si>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</si>
  <si>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</si>
  <si>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</si>
  <si>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</si>
  <si>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</si>
  <si>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</si>
  <si>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</si>
  <si>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</si>
  <si>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</si>
  <si>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</si>
  <si>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</si>
  <si>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</si>
  <si>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</si>
  <si>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</si>
  <si>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</si>
  <si>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</si>
  <si>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</si>
  <si>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</si>
  <si>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</si>
  <si>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</si>
  <si>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</si>
  <si>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r>
      <t xml:space="preserve"># de seguimientos y evaluaciones de control interno realizadas en el trimestre 
</t>
    </r>
    <r>
      <rPr>
        <b/>
        <sz val="10"/>
        <color theme="1"/>
        <rFont val="Verdana"/>
        <family val="2"/>
      </rPr>
      <t>Indicador Variable acumulado y de eficacia</t>
    </r>
  </si>
  <si>
    <r>
      <t xml:space="preserve"># de Informes Legales Internos presentados en cada trimestre </t>
    </r>
    <r>
      <rPr>
        <b/>
        <sz val="10"/>
        <color theme="1"/>
        <rFont val="Verdana"/>
        <family val="2"/>
      </rPr>
      <t>Indicador Variable acumulado y de eficacia</t>
    </r>
  </si>
  <si>
    <r>
      <t xml:space="preserve"># de Informes Legales Externos presentados en cada trimestre </t>
    </r>
    <r>
      <rPr>
        <b/>
        <sz val="10"/>
        <color theme="1"/>
        <rFont val="Verdana"/>
        <family val="2"/>
      </rPr>
      <t>Indicador Variable acumulado y de eficacia</t>
    </r>
  </si>
  <si>
    <r>
      <t xml:space="preserve"># de seguimientos realizados según normatividad vigente
</t>
    </r>
    <r>
      <rPr>
        <b/>
        <sz val="10"/>
        <color theme="1"/>
        <rFont val="Verdana"/>
        <family val="2"/>
      </rPr>
      <t>Indicador acumulado y de eficacia</t>
    </r>
  </si>
  <si>
    <r>
      <t xml:space="preserve"># Boletines de Autocontrol socializados con los funcionarios de la ADRES 
</t>
    </r>
    <r>
      <rPr>
        <b/>
        <sz val="10"/>
        <color theme="1"/>
        <rFont val="Verdana"/>
        <family val="2"/>
      </rPr>
      <t>Indicador acumulado</t>
    </r>
  </si>
  <si>
    <t>COMPONENTE PAAC</t>
  </si>
  <si>
    <t>SUBCOMPONENTE PAAC</t>
  </si>
  <si>
    <t>Gestión de riesgo de corrupción- mapa de riesgos de corrupción</t>
  </si>
  <si>
    <t>Racionalización de Tramites</t>
  </si>
  <si>
    <t xml:space="preserve">Rendición de Cuentas </t>
  </si>
  <si>
    <t>Mecanismos para mejorar la atención al ciudadano</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</si>
  <si>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</si>
  <si>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</si>
  <si>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</si>
  <si>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</si>
  <si>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</si>
  <si>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</si>
  <si>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</si>
  <si>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</si>
  <si>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Construcción Mapa de Riesgos</t>
  </si>
  <si>
    <t>Consulta y Divulgación</t>
  </si>
  <si>
    <t>Diálogo de doble vía con la Ciudadanía y las Organizaciones</t>
  </si>
  <si>
    <t>11600-2-3-2</t>
  </si>
  <si>
    <t># Vulnerabilidades resueltas / # vulnerabilidades identificadas</t>
  </si>
  <si>
    <t>Vulnerabilidades resueltas del ejercicio de ethical hacking del año anterior</t>
  </si>
  <si>
    <t># Planes Estratégicos de TI elaborados.</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</si>
  <si>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</si>
  <si>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</si>
  <si>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</si>
  <si>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</si>
  <si>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</si>
  <si>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</si>
  <si>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</si>
  <si>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</si>
  <si>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</si>
  <si>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</si>
  <si>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</si>
  <si>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</si>
  <si>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</si>
  <si>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</si>
  <si>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</si>
  <si>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t>|</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</si>
  <si>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</si>
  <si>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</si>
  <si>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</si>
  <si>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</si>
  <si>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</si>
  <si>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</si>
  <si>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</si>
  <si>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</si>
  <si>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</si>
  <si>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</si>
  <si>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</si>
  <si>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</si>
  <si>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</si>
  <si>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</si>
  <si>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</si>
  <si>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</si>
  <si>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</si>
  <si>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</si>
  <si>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</si>
  <si>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</si>
  <si>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</si>
  <si>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</si>
  <si>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</si>
  <si>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</si>
  <si>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</si>
  <si>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</si>
  <si>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</si>
  <si>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</si>
  <si>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</si>
  <si>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</si>
  <si>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</si>
  <si>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</si>
  <si>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</si>
  <si>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</si>
  <si>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</si>
  <si>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</si>
  <si>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</si>
  <si>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</si>
  <si>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</si>
  <si>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</si>
  <si>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</si>
  <si>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</si>
  <si>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</si>
  <si>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</si>
  <si>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</si>
  <si>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</si>
  <si>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</si>
  <si>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</si>
  <si>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</si>
  <si>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</si>
  <si>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</si>
  <si>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</si>
  <si>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</si>
  <si>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</si>
  <si>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</si>
  <si>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</si>
  <si>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</si>
  <si>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</si>
  <si>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</si>
  <si>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</si>
  <si>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</si>
  <si>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</si>
  <si>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</si>
  <si>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</si>
  <si>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</si>
  <si>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</si>
  <si>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</si>
  <si>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</si>
  <si>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</si>
  <si>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</si>
  <si>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</si>
  <si>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</si>
  <si>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</si>
  <si>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11600/11700-1-2-1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</si>
  <si>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</si>
  <si>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</si>
  <si>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</si>
  <si>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</si>
  <si>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</si>
  <si>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</si>
  <si>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</si>
  <si>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</si>
  <si>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</si>
  <si>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</si>
  <si>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</si>
  <si>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</si>
  <si>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</si>
  <si>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</si>
  <si>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</si>
  <si>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</si>
  <si>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</si>
  <si>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</si>
  <si>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</si>
  <si>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</si>
  <si>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</si>
  <si>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</si>
  <si>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</si>
  <si>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</si>
  <si>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</si>
  <si>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</si>
  <si>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</si>
  <si>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</si>
  <si>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</si>
  <si>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</si>
  <si>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</si>
  <si>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</si>
  <si>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</si>
  <si>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</si>
  <si>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</si>
  <si>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</si>
  <si>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</si>
  <si>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</si>
  <si>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</si>
  <si>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</si>
  <si>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</si>
  <si>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</si>
  <si>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</si>
  <si>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</si>
  <si>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</si>
  <si>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</si>
  <si>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</si>
  <si>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</si>
  <si>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</si>
  <si>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</si>
  <si>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</si>
  <si>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</si>
  <si>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</si>
  <si>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</si>
  <si>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</si>
  <si>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</si>
  <si>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</si>
  <si>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</si>
  <si>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</si>
  <si>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</si>
  <si>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</si>
  <si>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</si>
  <si>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</si>
  <si>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</si>
  <si>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</si>
  <si>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</si>
  <si>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</si>
  <si>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</si>
  <si>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</si>
  <si>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</si>
  <si>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</si>
  <si>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</si>
  <si>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</si>
  <si>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</si>
  <si>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</si>
  <si>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</si>
  <si>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</si>
  <si>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</si>
  <si>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</si>
  <si>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</si>
  <si>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20190331. Para este trimestre, esta actividad no tenía alcance definido.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</si>
  <si>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</si>
  <si>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</si>
  <si>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</si>
  <si>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</si>
  <si>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</si>
  <si>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</si>
  <si>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</si>
  <si>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</si>
  <si>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</si>
  <si>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</si>
  <si>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</si>
  <si>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</si>
  <si>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</si>
  <si>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</si>
  <si>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</si>
  <si>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</si>
  <si>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</si>
  <si>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Para este trimestre no se realizan reuniones de Autocontrol, se ejecutan a partir del segundo trimestre de 2019. </t>
  </si>
  <si>
    <t>No existe compromiso en el trimestre</t>
  </si>
  <si>
    <t>No hay meta establecida para este trimestre</t>
  </si>
  <si>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</si>
  <si>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</si>
  <si>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</si>
  <si>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</si>
  <si>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</si>
  <si>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</si>
  <si>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</si>
  <si>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</si>
  <si>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</si>
  <si>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</si>
  <si>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</si>
  <si>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</si>
  <si>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</si>
  <si>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</si>
  <si>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</si>
  <si>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</si>
  <si>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</si>
  <si>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</si>
  <si>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</si>
  <si>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</si>
  <si>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</si>
  <si>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</si>
  <si>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</si>
  <si>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</si>
  <si>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</si>
  <si>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No hay meta para el trimestre</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</si>
  <si>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</si>
  <si>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</si>
  <si>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</si>
  <si>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</si>
  <si>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</si>
  <si>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</si>
  <si>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</si>
  <si>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</si>
  <si>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</si>
  <si>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Se efectuaron 3 procesos de prestaciones económicas de acuerdo con el cronograma establecido</t>
  </si>
  <si>
    <t>En el trimestre no estaba programado ejecutar auditorías a los reconocimientos de UPC del régimen contributivo y subsidiado.</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</si>
  <si>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</si>
  <si>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</si>
  <si>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Esta actividad no se reporta en este trimestre</t>
  </si>
  <si>
    <t>Esta actividad no es objeto de reporte en este trimestre.</t>
  </si>
  <si>
    <t>Se realizaron un total de 13 solicitudes a las dependencias, ver en carpeta de evidencias soportes respectivos</t>
  </si>
  <si>
    <t>Claudia Pulido
Subdirectora de Liquidaciones</t>
  </si>
  <si>
    <t>El responsable de las lineas de acción 11400-1-1-5 y 11400-1-1-6 ajusta el valor total y trimestrales, toda vez que el valor total de los contratos del Plan Anual de Adquisiciones relacionados con prestaciones economicas y devolución de aportes se encontraba en la actividad 11400-1-1-5, y la mitad de ese valor corresponde a devolución de aportes.</t>
  </si>
  <si>
    <t>No hay meta establecida para este trimestre.</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</si>
  <si>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</si>
  <si>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Esperanza Rodríguez
Coordinadora Grupo Interno de Gestión de Contratación</t>
  </si>
  <si>
    <t>Leidy Beltran
Gestor de Operaciones Grupo Interno de Gestión de Contratación</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</si>
  <si>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</si>
  <si>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</si>
  <si>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</si>
  <si>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</si>
  <si>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</si>
  <si>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</si>
  <si>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</si>
  <si>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</si>
  <si>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</si>
  <si>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</si>
  <si>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</si>
  <si>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</si>
  <si>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</si>
  <si>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</si>
  <si>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</si>
  <si>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</si>
  <si>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</si>
  <si>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</si>
  <si>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</si>
  <si>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</si>
  <si>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</si>
  <si>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</si>
  <si>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</si>
  <si>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</si>
  <si>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</si>
  <si>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</si>
  <si>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</si>
  <si>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</si>
  <si>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El responsable de las siguientes lineas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</si>
  <si>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</si>
  <si>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</si>
  <si>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</si>
  <si>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</si>
  <si>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</si>
  <si>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</si>
  <si>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</si>
  <si>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</si>
  <si>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</si>
  <si>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</si>
  <si>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</si>
  <si>
    <t xml:space="preserve">Se modifica el periodo de cumplimiento de la meta de la actividad  los indicadores de la actividad 11400-1-1-2 para que quede prevista para el último trimestre del 2019 la entrega de los cuatro (4) procesos optimizados. Lo anterior, dado que a la fecha no se tienen contratados los tres ingenieros que se requieren para apoyar dicha actividad.
Lo anterior, según solicitud del Director de Liquidaciones y Garantías, mediante correo electrónico del 09/05/2019. </t>
  </si>
  <si>
    <t>Alvaro Rojas
Director de Liquidaciones y Garantias</t>
  </si>
  <si>
    <t>Director de Gestión de Liquidaciones y Garantías</t>
  </si>
  <si>
    <t xml:space="preserve">Estructurar los anexos técnicos y definir los requisitos para diseñar, desarrollar, implementar  y  dar soporte técnico al nuevo portal web e intranet de la ADRES </t>
  </si>
  <si>
    <t>Anexos técnicos para el diseño, desarrollo e implementación del sitio web de la ADRES.</t>
  </si>
  <si>
    <t>Johanna Contreras 
Asesor Dirección General</t>
  </si>
  <si>
    <t>Norela Briceño Bohórquez
Gestor de Operaciones Oficina Asesora de Planeación y Control de Riesgos</t>
  </si>
  <si>
    <t>Realizar el seguimiento de las publicaciones en redes sociales y diferentes medios de comunicación asociados a la ADRES y referenciar la información en los formatos dispuestos por la dirección general.</t>
  </si>
  <si>
    <t>Informe mensual de monitoreo de la actividad en redes sociales y medios de comunicación asociados a la ADRES.</t>
  </si>
  <si>
    <t># Informes sobre las actividades en redes sociales y medios de comunicación asociada a la ADRES presentados.</t>
  </si>
  <si>
    <t>Se cambia la descripción de la actividad con código 11200-1-2, su respectivo producto e indicador en razón a que la actividad anteriormente descrita corresponde al objeto contractual del contrato 039 de 2019 y no a la esencia de la misma. 
A su vez se retira el producto con código 11200-1-2-2 y sus respectivos indicadores debido a que corresponde al objeto contractual del contrato 039 de 2019 y no aporta a los objetivos estratégicos de la entidad para referenciarlos en el Plan de Acción.</t>
  </si>
  <si>
    <t>Campaña interna de sensibilización sobre la importancia de la Rendición de Cuentas.</t>
  </si>
  <si>
    <t>Campaña externa de sensibilización sobre la importancia de la Rendición de Cuentas.</t>
  </si>
  <si>
    <t># Campañas internas de sensibilización sobre la importancia de la Rendición de Cuentas.</t>
  </si>
  <si>
    <t># Campaña externa de sensibilización sobre la importancia de la Rendición de Cuentas.</t>
  </si>
  <si>
    <t>Audiencia pública de Rendición de cuentas externa realizadas</t>
  </si>
  <si>
    <t># Anexos técnicos para el diseño, desarrollo e implementación del sitio web de la ADRES.</t>
  </si>
  <si>
    <t xml:space="preserve">Se cambia la descripción de la actividad con código 11200-1-1, su respectivo producto, indicador y valor a $0 toda vez que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y tendría que modificarse del Plan de Acción. </t>
  </si>
  <si>
    <t># de Jornadas de rendición de cuentas externas</t>
  </si>
  <si>
    <t>Audiencia pública de Rendición de cuentas interna realizadas</t>
  </si>
  <si>
    <t># Audiencias públicas de Rendición de cuentas interna realizadas</t>
  </si>
  <si>
    <t>Se ajusta la redacción de los productos con códigos: 11200-1-4-1, 11200-1-5-1, 11200-1-6-1 y 11200-1-7-1 y sus respectivos indicadores, con el fin de clarificarlos más. Con respecto a la actividad 11200-1-6 se incluyó otro indicador y $10.000.000 para su ejecución. A la actividad y 11200-1-7 tambien se le incluyo un indicador y su correspondiente meta.</t>
  </si>
  <si>
    <t>Establecer las políticas y lineamientos en las comunicaciones externas e internas de la ADRES</t>
  </si>
  <si>
    <t>11200-1-9</t>
  </si>
  <si>
    <t>11200-1-9-1</t>
  </si>
  <si>
    <t>Política de comunicaciones de la ADRES aprobada por el comité de Gestión y Desempeño.</t>
  </si>
  <si>
    <t># Documentos de política de comunicaciones de la ADRES aprobados y socializados con los funcionarios de la entidad.</t>
  </si>
  <si>
    <t xml:space="preserve"># Informes de Rendición de Cuentas interna de la ADRES publicados </t>
  </si>
  <si>
    <t># Informes de Rendición de Cuentas externa de la ADRES publicados</t>
  </si>
  <si>
    <t>Establecer los canales, actividades, lenguajes, y demás requerimientos para fortalecer la comunicación al interior del talento humano institucional</t>
  </si>
  <si>
    <t>Estrategia de comunicación Interna de la ADRES.</t>
  </si>
  <si>
    <t># Documentos estrategia de comunicación Interna de la ADRES.</t>
  </si>
  <si>
    <t>11200-1-10-1</t>
  </si>
  <si>
    <t>Realización de actividades pedagógicas con los diferentes actores del sistema de salud sobre el flujo de recursos del sistema de salud que es administrado por la ADRES.</t>
  </si>
  <si>
    <t>Estrategia de pedagogía externa sobre el flujo de recursos del sistema de salud que es administrado por la ADRES</t>
  </si>
  <si>
    <t># de jornadas pedagógicas con actores externos del sistema de salud.</t>
  </si>
  <si>
    <t>Establecer los canales, actividades, temáticas y lenguajes, y demás requerimientos para fortalecer la comunicación digital de la entidad.</t>
  </si>
  <si>
    <t>Estrategia de comunicación digital de la ADRES.</t>
  </si>
  <si>
    <t># Documentos estrategia de comunicación digital de la ADRES..</t>
  </si>
  <si>
    <t>11200-1-11-1</t>
  </si>
  <si>
    <t>11200-1-12-1</t>
  </si>
  <si>
    <t>11200-1-12</t>
  </si>
  <si>
    <t>11200-1-11</t>
  </si>
  <si>
    <t>11200-1-10</t>
  </si>
  <si>
    <t>Se incluyen las actividades 11200-1-9, 11200-1-10, 11200-1-11 y 11200-1-12 por solicitud del responsable</t>
  </si>
  <si>
    <t>Validar la auditoría de los precierres de paquetes de recobros y reclamaciones entregados por la firma auditora. partir de enero de 2019</t>
  </si>
  <si>
    <t>Paquetes de recobros y reclamaciones del rezago entregados para pago certificados por la Firma Interventora / Grupo supervisor de la ADRES o quien haga sus veces</t>
  </si>
  <si>
    <t># de precierres validados de paquetes de recobros /# de precierres de paquetes de recobros entregados por la firma auditora</t>
  </si>
  <si>
    <t xml:space="preserve"># de precierres validados de paquetes de reclamaciones /# de precierres de paquetes de reclamaciones entregados por la firma auditora  </t>
  </si>
  <si>
    <t>Se cambia la descripción de la actividad con código 11500-1-1-1, su respectivo producto e indicador teniendo en cuenta que el producto relacionado depende de la gestión adelantada por la firma auditora y firma interventora y para efectos de poder medir la gestión de la DOP respecto de la entrega de los resultados de auditoría de los recobros y reclamaciones</t>
  </si>
  <si>
    <t xml:space="preserve">Laura Melisa Beltran
Directora de Oras Prestaciones </t>
  </si>
  <si>
    <t xml:space="preserve">Directora de Oras Prestaciones </t>
  </si>
  <si>
    <t>11500-1-1-9</t>
  </si>
  <si>
    <t>Efectuar seguimiento a la entrega de paquetes de recobros y reclamaciones.</t>
  </si>
  <si>
    <t># de bitácoras generadas sobre el seguimiento a los paquetes de recobros y reclamaciones</t>
  </si>
  <si>
    <t>Se incluye la actividad 11500-1-1-9 poder medir la gestión de la DOP, respecto de la entrega de los resultados de auditoría de los recobros y reclamaciones</t>
  </si>
  <si>
    <t>Apoyos técnicos enviados a la OAJ en recobros y reclamaciones una vez son entregados los reportes a la DOP por la Dirección de Tecnología de la Información</t>
  </si>
  <si>
    <t># Apoyos técnicos resueltos y entregados por la DOP a la OAJ / # apoyos técnicos entregados  a DOP por la Dirección de Tecnología, los cuales fueron solicitados por la OAJ</t>
  </si>
  <si>
    <t>Ordenar el pago de los paquetes de recobros cuyo trámite de auditoría se encuentre certificado o haya sido allegado el auto de desistimiento para el caso de recobros inmersos en procesos judiciales.</t>
  </si>
  <si>
    <t>Ordenar el pago de los paquetes de reclamaciones cuyo trámite de auditoría se encuentre certificado o haya sido allegado el auto de desistimiento para el caso de reclamaciones inmersas en procesos judiciales</t>
  </si>
  <si>
    <t>#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t>
  </si>
  <si>
    <t># Ordenaciones de paquetes de reclamaciones con resultado de auditoría se encuentre certificado o haya sido allegado el auto de desistimiento / # paquetes cuyo tramite de auditoría se encuentre certificado o haya sido allegado el auto de desistimiento</t>
  </si>
  <si>
    <t># Solicitudes de publicación de giros por ordenación de paquetes de reclamaciones / # ordenaciones de giros de paquetes por reclamaciones</t>
  </si>
  <si>
    <t>Se ajustó la redacción de los siguientes ítems:
* Producto con código 11500-1-1-2-1 y su respectivo indicador
* Actividad con código 11500-1-1-5 unificando sus indicadores en uno solo que reune los dos.
* Actividad con código 11500-1-1-7 y su correspondiente indicador
* Indicador de la actividad con código 11500-1-1-8</t>
  </si>
  <si>
    <t xml:space="preserve">Se cambió el periodo de reporte de la actividad de código 11500-2-1 del I al IV Trimestre tota vez que el reporte en el plan de acción debía efectuarse en el primer trimestre del año 2019 para la actividad: Racionalizar el trámite “Reconocimiento y pago de prestaciones por concepto de atenciones médico-quirúrgicas a víctimas de eventos catastróficos, terroristas y de accidentes de tránsito” a través de la revisión y mejoramiento del formato FURPEN”; no obstante, la actividad no se ha podido completar dado que se requiere ejecutar unas actividades que implican una dedicación adicional de tiempo. </t>
  </si>
  <si>
    <t>Se cambió el periodo de reporte de la actividad de código 11400-3-1 del II al IV Trimestre en razón a que no se ha podido avanzar con la DGTIC en la definición del sistema en el que se soportará el proceso de compra de cartera, que impactará en  “Racionalizar el trámite de Solicitud compra de cartera a través del cambio en la Resolución 4373 de 2017 del Ministerio de Salud”.</t>
  </si>
  <si>
    <t>Conjunto de datos abiertos de la DGTIC.</t>
  </si>
  <si>
    <t>Definir y publicar, un conjunto de datos abiertos conforme a las directrices del MinTIC</t>
  </si>
  <si>
    <t># Conjuntos de datos abiertos publicados</t>
  </si>
  <si>
    <t>Se modificó la actividad con código 11600-2-11, su responsable, producto, indicador y periodo de cumplimiento de la meta toda vez que uno de los alcances definidos por la Política de Gobierno Digital es la producción de datos abiertos por las Entidades, buscando así generar valor a la ciudadanía en general; a su vez, dentro de las actividades definidas dentro del autodiagnóstico de esta política dentro del marco del MIPG en el componente “TIC para Gobierno Abierto” es indispensable la generación de datos abiertos por parte de las Entidades. Por tal razón, dentro de este contexto la DGTIC con el fin de dar cumplimiento a dicha política ve una oportunidad la definición de esta actividad dentro del plan de acción.</t>
  </si>
  <si>
    <t>Sergio Soler
Director de Gestión de Tecnologías de la Información y las Comunicaciones</t>
  </si>
  <si>
    <t>Se cambiaron las metas y periodos de cumplimiento de la actividad con código 11600-2-15 dado que actualmente la DGTIC se encuentra liderando la actualización de los procedimientos relacionados con Seguridad de la Información definidos por el Modelo de Seguridad y Privacidad de la Información de los diferentes procesos de ADRES; por tal razón, para no generar reprocesos y manejar de manera articulada un solo cronograma de actualización, se propone el cumplimiento señalado.</t>
  </si>
  <si>
    <t>Se cambiaron las metas de ejecución presupuestal y periodos de cumplimiento de la actividad con código11600-2-2 en razón a que el proceso de Contratación de la consultoría para la adopción del protocolo IPV6 se está llevando a cabo, teniendo en cuenta que en el cronograma el proceso será adjudicado finalizando el II trimestre, se hace necesario hacer el ajuste del cumplimiento definido a nivel presupuestal de la forma propuesta, la cual está alineada con los pagos que se han definido dentro del estudio previo del proceso</t>
  </si>
  <si>
    <t>Identificar los riesgos de Seguridad de la Información asociados a los “Activos de Información” de los diferentes procesos de la Entidad</t>
  </si>
  <si>
    <t xml:space="preserve">Procesos con Riesgos de Seguridad de la Información identificados </t>
  </si>
  <si>
    <t># Procesos con riesgos de Seguridad de la Información identificados / # procesos vigentes</t>
  </si>
  <si>
    <t xml:space="preserve">Se modificó la actividad con código 11600-2-10, su producto, indicador, meta y periodo de cumplimiento teniendo en cuenta que la Administración de Riesgos se debe hacer de manera integral por toda la Entidad y conforme a la política que se establece en ADRES y las guías que se deben seguir como la del DAFP; se sugiere la modificación de la actividad y del indicador conforme a lo propuesto. Buscando así, la participación y compromiso de las diferentes dependencias y los procesos que en estas se realizan. </t>
  </si>
  <si>
    <t>Ítems eliminados</t>
  </si>
  <si>
    <t>Se eliminó la actividad 11600-2-3 teniendo en cuenta la directriz presidencial de austeridad del gasto, la cual buscaba la reducción de gastos por honorarios.</t>
  </si>
  <si>
    <t>11700-1-66</t>
  </si>
  <si>
    <t>11700-1-66-1</t>
  </si>
  <si>
    <t>Se modificó el responsable, la meta anual, las trimestrales, periodo de cumplimiento y los códigos de actividad y producto de la actividad con código inicial 11600/11700-1-3 toda vez que dentro de la definición de la resolución con la cual se adoptó la política de protección de datos personales se determinó que el Equipo Oficial de Protección de datos se encontraría compuesto por dos (2) personas de la DAF, uno (1) de la OAJ y uno (1) de la DGTIC. Sin embargo, no se ha realizado la designación como tal de quienes son los responsables. Por lo tanto, se hace necesario determinar quiénes serán los responsables para continuar con las actividades propuestas. En consecuencia se sugiere que la actividad: “Desarrollar e implementar solicitudes de autorización para el tratamiento de datos personales” sea retirada de la DGTIC; y que la meta sea modificada al 100%, ya que actualmente se cuenta con un inventario inicial de fuentes de captura de información sujetas a contar con solicitud o aviso de tratamiento de datos personales</t>
  </si>
  <si>
    <t>Se retiró la actividad 11600-2-1 teniendo en cuenta que actualmente el proceso de Gestión de Soporte de Tecnologías de Información cuenta a nivel de proceso con dicho indicador</t>
  </si>
  <si>
    <t>Lizeth Lamprea
Gestor de Operaciones Oficina de Control Interno</t>
  </si>
  <si>
    <t>Diego Santacruz
Jefe Oficina de Control Interno</t>
  </si>
  <si>
    <t>Se ajustaron las metas de II, III y IV trimestre de la actividad con código 11800-1-2, conservando la meta anual por los siguientes motivos:
Procedimiento de Giro Directo, Validación y registro proceso de compensación: Evaluación proyectada para realizar en mayo/junio, se traslada para ser realizada desde la última semana de septiembre hasta el 31 de octubre.
Evaluación Enfoque hacia la prevención – Gestión de Talento Humano: Evaluación proyectada para realizar en junio, se amplía una semana hasta el 5 de julio, por lo cual el informe pasa de ser reportado en el 2 trimestre al 3 trimestre de 2019.</t>
  </si>
  <si>
    <t xml:space="preserve">Se ajustaron las metas de II y IV trimestre de la actividad con código 11800-1-3, conservando la meta anual por los siguientes motivos:
Gestión Integral Régimen Contributivo: Evaluación a una muestra de contratos de prestación de servicios profesionales: Evaluación proyectada para realizar en septiembre, es adelantada para ser realizada a partir del 21 de mayo hasta el 30 de Junio. – Contrato 080. </t>
  </si>
  <si>
    <t xml:space="preserve">Marian Batista
Gestor de Operaciones Oficina Asesora de Planeación y Control de Riesgos
</t>
  </si>
  <si>
    <t>Luisa Fernanda González Mozo
Jefe Oficina Asesora de Planeación y Control de Riesgos</t>
  </si>
  <si>
    <t>Se ajustaron las metas de II y III trimestre de la actividad con código 11800-1-3 en razón a que se espera culminar el 30 de julio la actividad “Implementar el SARLAFT” y dedepende de varios factores entre estos la disponibilidad de tiempo de las dependencias involucradas.</t>
  </si>
  <si>
    <t># Políticas socializadas</t>
  </si>
  <si>
    <t xml:space="preserve"># Riesgos actualizados en el Mapa de Riesgos Institucional / Total de Riesgos </t>
  </si>
  <si>
    <t xml:space="preserve">Listas de asistencia a reuniones de autocontrol </t>
  </si>
  <si>
    <t xml:space="preserve"># Listas de asistencia a reuniones de autocontrol </t>
  </si>
  <si>
    <t xml:space="preserve">Se cambió el indicador y la meta de la actividad con código 12000-1-5 toda vez que la socialización de la política en la practica es leerla, por lo que es más pertinente que se realice vía correo electrónico o mediante un boletín y pagina web. En ese sentido, cambia también la meta </t>
  </si>
  <si>
    <t>Se modificaron las metas de II y III trimestre de la actividad con código12000-1-2 toda vez que se espera culminar el 30 de julio la actividad “Apoyar la definición e implementación del Plan de Continuidad del Negocio” y se depende de varios factores entre estos la disponibilidad de tiempo de las dependencias involucradas.</t>
  </si>
  <si>
    <t>Se ajustaron las metas de II, III y IV trimestre de la actividad de código 12000-1-12 de acuerdo con el compromiso establecido con la Oficina de Control Interno para que a su vez ellos realicen la evaluación de la implementación de MIPG en el mes de octubre como lo tienen previsto en su programación.</t>
  </si>
  <si>
    <t>Jefe Oficina Asesora de Planeación y Control de Riesgos</t>
  </si>
  <si>
    <t>Reclamaciones de cobro coactivo gestionadas</t>
  </si>
  <si>
    <t># Reclamaciones de cobro coactivo gestionadas</t>
  </si>
  <si>
    <t xml:space="preserve">Se amplió la meta anual y se cambió el periodo de cumplimiento de trimestral al IV trimestre de la actividad de código 11900-1-1 toda vez que la meta del Grupo de Cobro al 31 de diciembre de 2019 gestionar el cobro de 103.000 reclamaciones, las cuales fueron pagadas entre enero de 2017 y diciembre de 2018, por valor total de 144 mil millones.
 La meta previamente establecida no se encuentra alineada con ese objetivo. </t>
  </si>
  <si>
    <t>Jefe Oficina Asesora Jurídica</t>
  </si>
  <si>
    <t xml:space="preserve">Se retiró la actividad 11900-1-2-1 dado que las comunicaciones relacionadas no son jurídicamente necesarias y por tanto se deben eliminar de la gestión. 
 El indicador no refleja una gestión real por parte de la OAJ. </t>
  </si>
  <si>
    <t># Pagos registrados en SII PRE / # pagos conciliados</t>
  </si>
  <si>
    <t>Se ajustó el planteamiento del indicador que mide el producto con código 11900-1-2-2 teniendo en cuenta que los pagos registrados son los mismos realizados, el denominador incluía un postulado reiterativo que podía inducir a error al momento de calcularlo</t>
  </si>
  <si>
    <t>Determinar la cartera susceptible de depuración, conforme a las normas contables aplicables</t>
  </si>
  <si>
    <t># Reclamaciones depurables</t>
  </si>
  <si>
    <t>Reclamaciones depurables</t>
  </si>
  <si>
    <t xml:space="preserve">Se modificó la redacción del producto con código 11900-1-2-3, su indicador y meta anual y trimestral en atención a que el anterior no tenía en cuenta que no todas las reclamaciones son susceptibles de depuración, por lo que siempre arrojaría un resultado negativo.
Atendiendo lo anterior, resultó necesario, además, modificar la cantidad y la descripción de la actividad. </t>
  </si>
  <si>
    <t># Actos administrativos y actuaciones actualizados en las bases de información / # expedientes entregados en reparto susceptibles de actualización</t>
  </si>
  <si>
    <t xml:space="preserve"># Reclamaciones perfiladas como de difícil recaudo / # Reclamaciones enviadas para estudio de compra a CISA  </t>
  </si>
  <si>
    <t xml:space="preserve">Monto pagado por CISA S.A / Monto ofrecido por CISA S.A. </t>
  </si>
  <si>
    <t>Se ajustó la redacción de la actividad con código 11900-1-3 teniendo en cuenta que no todos los expedientes entregados en reparto son susceptibles de gestión.</t>
  </si>
  <si>
    <t>Determinar la cartera susceptible de venta a CISA S.A.</t>
  </si>
  <si>
    <t>Se modificaron los indicadores de la actividad con código 11900-1-4 en atención a que tal cual estaba planteado contenían una imprecisión jurídica que obligaría a vender toda la cartera, al sujetar toda la actuación al término de 180 días vencidos. Así mismo se ajustó la meta anual y trimestral del indicador relacionado con el monto pagado por CISA S.A considerando a que el monto ofrecido por CISA es hasta el 1.35% del valor de la cartera, por lo que siempre arrojaría un resultado negativo.
Las anteriores consideraciones inducen el replanteamiento de la actividad respectiva.</t>
  </si>
  <si>
    <t>Producto pagado /producto entregado</t>
  </si>
  <si>
    <t xml:space="preserve">Se cambió el indicador y el periodo de cumplimiento de trimestral al IV trimestre de la actividad de código 11900-1-5 en razón a que el contrato no alude cortes o metas por trimestre, sino que, de requerirse un producto, será objeto de pago, de lo contrario no habrá erogación para la ADRES. </t>
  </si>
  <si>
    <t>Producto entregado en el trimestre/producto requerido en el trimestre</t>
  </si>
  <si>
    <t>Se cambió el planteamiento del indicador de la actividad de código 11900-1-1 porque alude a la necesidad que se presente durante el trimestre, de modo tal que si no se requieren casaciones, el hecho de no reportar pagos no podría impactar en la acción de la OAJ.</t>
  </si>
  <si>
    <t>#procesos vigilados por la firma de vigilancia / # procesos relacionados para vigilancia a la firma contratada</t>
  </si>
  <si>
    <t xml:space="preserve">Se cambió el planteamiento del indicador de la actividad de código 11900-1-9 dado que debe versar sobre los procesos que actualmente tiene reportados la entidad, ahora bien, es factible que el contratista reporte otros asuntos y así ADRES pueda preparar su defensa frente a futuros asuntos. Lo importante es que el resultado de procesos vigilados no sea inferior a la base de procesos que tiene ADRES registrados. </t>
  </si>
  <si>
    <t xml:space="preserve">#Procesos permitidos por la plataforma durante el Trimestre  / #procesos radicados en Ekogui por los apoderados </t>
  </si>
  <si>
    <t>Entrega de provisión contable según requerimiento para entrega de provisión por parte de la DGRFS</t>
  </si>
  <si>
    <t>Se modificó el segundo indicador de la actividad de código 11900-1-10 ya que durante el primer trimestre y parte del segundo, la plataforma EKOGUI (administrada por una entidad externa a la ADRES) presentó actualizaciones y no permite radicaciones en la totalidad de perfiles, sin que se trate de una omisión de la OAJ. 
Así mismo, se ajustó el planteamiento del 3° indicador y su meta anual y las trimestrales de esta misma actividad toda vez que se ajusta a la entrega de provisión según el requerimiento que efectúe la Dirección competente, ya que no se hace necesario aludir específicamente a las fechas de entrega, y durante el año debe haber un total de 4 provisiones (1 trimestral).</t>
  </si>
  <si>
    <t>#Procesos Representados durante el Trimestre / #Procesos penales en los que ADRES requiere representación judicial durante el trimestre</t>
  </si>
  <si>
    <t>#informes entregados / #Informes pedidos sobre denuncias</t>
  </si>
  <si>
    <t xml:space="preserve">Se modifican los indicadores de la actividade 11900-1-11 en atención a que el objeto del contrato es la representación judicial en los procesos penales y el indicador de calificación debe reflejar dicha representación.
En lo que atañe a las denuncias, como sus movimientos dependen de un tercero (Fiscalía) no es factible la intervención en la totalidad de denuncias si no reportan movimiento, razón por la cual es necesario cambiar el indicador bajo parámetros que efectivamente muestren la gestión que adelanta la OAJ. </t>
  </si>
  <si>
    <t xml:space="preserve">Se retiró la actividad con código 11900-1-13 toda vez que aunque se desarrolla por la OAJ no se encuentra bajo la titularidad de un único abogado, en consecuencia, el valor que la representa no se equipara.  
La función desapareció en las líneas del Plan Anual de Adquisiciones. </t>
  </si>
  <si>
    <t>#actas proyectadas durante el trimestre/#Sesiones llevadas a cabo en el trimestre</t>
  </si>
  <si>
    <t xml:space="preserve">Se modifica el planteamiento del indicador de la actividad 11900-1-14 teniendo en cuenta que la suscripción de firmas depende de los miembros del Comité de conciliación que son ajenos a la OAJ, se ajustará el indicador sobre los parámetros de la función de la OAJ que responde a la proyección de las actas por cada sesión. 
 Al interior de la OAJ se dispondrá una persona de planta con dedicación exclusiva a las funciones del Comité, por esa razón el contrato pierde sustento y el valor relacionado en la línea del Plan se elimina. </t>
  </si>
  <si>
    <t># Conceptos jurídicos presentados en término legal / # Conceptos jurídicos requeridos con corte al mes anterior</t>
  </si>
  <si>
    <t>Se adecuó la redacción del indicador de la actividad 11900-1-6 teniendo en cuenta los términos con los cuales se cuenta para tramitar una solicitud de concepto, para evitar incluir solicitudes que aún se encuentran en oportunidad para contestar.</t>
  </si>
  <si>
    <t xml:space="preserve">Se retiran las actividades con códigos: 11700-1-17, 11700-1-18 y 11700-1-21 teniendo en cuenta que se dará cumplimiento mediante el contrato de prestación de servicios Número 69 y/o 70 de 2019. El rol de la entidad será hacer seguimiento. </t>
  </si>
  <si>
    <t>Andrés Fernando Agudelo Aguilar
Director Administrativo y Financiero</t>
  </si>
  <si>
    <t>Carlos Cáceres
Coordinador Gruo Interno de Gestión del Talento Humano</t>
  </si>
  <si>
    <t>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t>
  </si>
  <si>
    <t xml:space="preserve">Se retira la actividad 11700-1-24  por austeridad del gasto. Mediante oficio del 30/05/2019 se retiró del Plan Anual de Adquisiciones </t>
  </si>
  <si>
    <t>Realizar estudios de iluminación, ruido y temperatura con el fin de valorar el riesgo a los cuales están expuestos los servidores públicos que laboran en ADRES y establecer los controles necesarios.</t>
  </si>
  <si>
    <t>Se modifica la actividad de código 11700-1-25 y su valor de acuerdo con la modificación realizada en el Plan Anual de Adquisiciones mediante oficio del 30/05/2019 por austeridad en el gasto.</t>
  </si>
  <si>
    <t>Se realizan los siguientes ajustes toda vez que los documentos del SG-SST se están elaborando con los nuevos formatos de la ADRES y se hará solicitud formal a la Oficina de Asesora de Planeación y Control de Riesgos, para los fines pertinentes sobre los procedimientos y demás modelos de documentación:
* La meta anual y trimestrales y periodos de cumplimiento de las actividades con códigos 11700-1-9, 11700-1-10 y 11700-1-11.
* Periodos de cumplimiento de las metas de las actividades con códigos 11700-1-13</t>
  </si>
  <si>
    <t>Se modificó la meta anual y trimestrales y periodos de cumplimiento de la actividad 11700-1-16 porque se consideró dejar una única divulgación, toda vez que se da de una forma definitiva con excepciones a las modificaciones que hayan a lugar de acuerdo a las normas.</t>
  </si>
  <si>
    <t>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t>
  </si>
  <si>
    <t xml:space="preserve">Se modificó el valor a $0 de las actividades con códigos: 11700-1-27, 11700-1-28, 11700-1-29 y 11700-1-30 toda vez que por austeridad del gasto se consideró la posibilidad de realizar estas capacitaciones a costo cero, dependiendo de la disponibilidad de terceros. </t>
  </si>
  <si>
    <t>11700-1-31-2</t>
  </si>
  <si>
    <t>11700-1-31-3</t>
  </si>
  <si>
    <t>11700-1-31-4</t>
  </si>
  <si>
    <t>11700-1-31-5</t>
  </si>
  <si>
    <t>11700-1-31-6</t>
  </si>
  <si>
    <t>Se eliminaron los productos con códigos: 11700-1-38-6, 11700-1-43-1, 11700-1-43-2 y 11700-1-43-4 por austeridad del gasto.</t>
  </si>
  <si>
    <t>Realizar las actividades programadas en el Plan Anual Bienestar e Incentivos que implican costo a fin de fomentar la integración, respeto, tolerancia, sana competencia, esparcimiento y participación de los Servidores Públicos de la Entidad</t>
  </si>
  <si>
    <t>11700-1-38-7</t>
  </si>
  <si>
    <t>11700-1-38-8</t>
  </si>
  <si>
    <t>Gimnasio convenio</t>
  </si>
  <si>
    <t>11700-1-38-9</t>
  </si>
  <si>
    <t>11700-1-38-10</t>
  </si>
  <si>
    <t>11700-1-38-11</t>
  </si>
  <si>
    <t>11700-1-38-12</t>
  </si>
  <si>
    <t>11700-1-38-13</t>
  </si>
  <si>
    <t>11700-1-38-14</t>
  </si>
  <si>
    <t>11700-1-38-15</t>
  </si>
  <si>
    <t>11700-1-38-16</t>
  </si>
  <si>
    <t>11700-1-38-17</t>
  </si>
  <si>
    <t>11700-1-38-18</t>
  </si>
  <si>
    <t>11700-1-38-19</t>
  </si>
  <si>
    <t>Se unificaron los productos 11700-1-31-1, 11700-1-32-1, 11700-1-33-1, 11700-1-34-1, 11700-1-35-1 y 11700-1-36-1 en una sola actividad de código 11700-1-31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120 de 2019, que reposa en SECOP II y la liberación de recursos efectuada.</t>
  </si>
  <si>
    <t>Se unificaron los productos 11700-1-38-1 a 11700-1-38-18, y se incluyó el producto de código 11700-1-38-19 en una sola actividad de código 11700-1-38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121 de 2019, que reposa en SECOP II y la liberación de recursos efectuada.</t>
  </si>
  <si>
    <t xml:space="preserve">Se modificó el valor de la actividad de código 11700-1-42 dado que se realizara con entidades a costo cero </t>
  </si>
  <si>
    <t>Esperanza Rodríguez
Coordinadora Grupo Interno de Gestión Contractual</t>
  </si>
  <si>
    <t>Se modificó el valor de la actividad de código 11700-1-65 a $0 toda vez que la actividad es “Realizar el seguimiento a la ejecución del Plan de Adquisiciones ”. Para la ejecución presupuestal se acoge la recomendación de la Jefe de la OAPCR de hacer el seguimiento mensual, a través del envío de comunicaciones a las dependencias requirentes de la Entidad.</t>
  </si>
  <si>
    <t>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t>
  </si>
  <si>
    <t xml:space="preserve">Martha Ligia Serna
Grupo de Gestión de Servicio al Ciudadano
</t>
  </si>
  <si>
    <t xml:space="preserve">Se ajustó el planteamiento del indicador de la actividad 11700-1-52 y la meta anual y trimestrales  toda vez que no se puede determinar que al menos 25 funcionarios de toda la planta de la entidad leyeron la información difundida a sus correos.
</t>
  </si>
  <si>
    <t xml:space="preserve">Se cambió el periodo de cumplimiento de la actividad 11700-1-49 toda vez que mediante memorando No. 27378 de 28 de mayo de 2019 se solicitó cambio en el cronograma de adquisición del digiturno en el Plan de Adquisiciones quedando como compromiso el mes de julio de 2019. </t>
  </si>
  <si>
    <t># Mapas de riesgos publicado en página web y socializado a todo el personal de la entidad mediante correo electrónico</t>
  </si>
  <si>
    <t>Se ajusta la redacción del 1° indicador de la actividad con código 12000-1-6 para que sea más claro, y las metas de II, III y IV trimestre de forma tal que este alineado al plan de mejoramiento aprobado por la OCI. Así mismo, se modifica el planteamiento del 2° indicador de la misma actividad, la unidad de medida, la meta anual y trimestrales y los periodos de cumplimiento.
Se ajusta a su vez el producto de código 12000-1-6-2 y su respectivo indicador ya que hay dos productos en uno; y la socialización de Mapa de riesgos actualizado ya está cubierto con el producto: “Mapa de riesgos actualizado, publicado y socializado” mediante correo electrónico, con código 12000-1-6-1.</t>
  </si>
  <si>
    <t>Optimizar y sistematizar el proceso de auditoría integral en salud, jurídica y financiera de recobros y reclamaciones</t>
  </si>
  <si>
    <t>18. Administración Base de Datos Única de Afiliados - BDUA</t>
  </si>
  <si>
    <t># Otro si suscritos</t>
  </si>
  <si>
    <t>Adelantar acercamientos con entidades del estado tales como la RNEC en aras de acceder a la información de los terceros deudores</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</si>
  <si>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 o cambiaron las metas del I Trimestre.</t>
    </r>
  </si>
  <si>
    <t>En el trimestre se efectuaron tres (3) procesos de Liquidación Mensual de Afiliados, uno por mes, en los tiempos establecidos en la normativa vigente, se  generó la certificación y la bitácora de cada proceso como se evidencia en las evidencias de esta actividad.</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</si>
  <si>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21 y 22 de enero, se anexa a la carpeta compartida por la OAPCR, las cuentas de cobros radicados del trimestre, las cuales evidencian la ejecución de los recursos asignados y programados entre Enero a Marzo de 2019.</t>
  </si>
  <si>
    <t xml:space="preserve">Se carga documento EXCEL con la relación de las Resoluciones que han sido emitidas ordenando el cobro, así como una muestra de las mismas, pero pueden ser verificadas en los expedientes de cobro. El contrato de SANDRA HOYOS tiene fecha de inicio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contingencia y serán 10 profesionales realizando la misma actividad.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</si>
  <si>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ejecución toda vez que la imputación de pagos es mensual y se solicitará las modificaciones respectivas. </t>
  </si>
  <si>
    <t xml:space="preserve">A diario se actualiza la base FENIX, con la información  reportada por los  abogados encargados de adelantar la gestión. El contrato de JUAN SEBASTIAN HERNANDEZ ESPINOSA inició el 08 de febrero de 2019, se anexa el informe de ejecución presupuestal y los informes del contratista. </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</si>
  <si>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</si>
  <si>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Mapa de riesgos actualizado, publicado y socializado</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</si>
  <si>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actualización de riesgos pero no se han publicado cambios en la página web por que están pendiente de continuar con la revisión de riesgos en comité de gestión y desempeño institucional. </t>
  </si>
  <si>
    <t># informes al Mapa de Riesgos y al Plan de Acción</t>
  </si>
  <si>
    <t xml:space="preserve">En el mes de enero  de 2019 se dispuso el instrumento para la participación ciudadana y se publicaron en la página Web de la ADRES los documentos  del Plan Estratégico 2019, Plan  de Acción 2019, y Mapa de Riesgos 2019 para comentarios.  La ciudadanía y partes interesadas no hizo comentarios a ninguno de los documentos durante el periodo en el que éstos se dispusieron para comentarios. La evidencia de la disposición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</si>
  <si>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 xml:space="preserve">El Informe de Gestión Institucional 2018 fue elaborado por todas las dependencias de la ADRES y consolidado por la Oficina Asesora de Planeación y Control de Riesgos. Fue publicado en la página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</si>
  <si>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Mecanismos para la transparencia y acceso a información pública</t>
  </si>
  <si>
    <r>
      <t xml:space="preserve">De 8 solicitudes escritas, se realizaron 8 nombramientos </t>
    </r>
    <r>
      <rPr>
        <b/>
        <i/>
        <sz val="10"/>
        <rFont val="Verdana"/>
        <family val="2"/>
      </rPr>
      <t>(Ver Resoluciones)</t>
    </r>
    <r>
      <rPr>
        <sz val="10"/>
        <rFont val="Verdana"/>
        <family val="2"/>
      </rPr>
      <t>.
De lo anterior se evidencia una adecuada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</si>
  <si>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"Comunicación Raúl Navarro RV Resoluciones Nombramiento")</t>
    </r>
    <r>
      <rPr>
        <sz val="10"/>
        <rFont val="Verdana"/>
        <family val="2"/>
      </rPr>
      <t xml:space="preserve">
De lo anterior se evidencia una adecuada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</si>
  <si>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</si>
  <si>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Se subió a carpeta de evidencias Matriz de avance 1er Trimestre</t>
  </si>
  <si>
    <t># Informes e audiencia pública de rendición de cuentas</t>
  </si>
  <si>
    <t>Actas del Comité de Conciliación debidamente firmadas</t>
  </si>
  <si>
    <t>Se hace precisión que el Personal de apoyo a la Gestión de Archivo inicio operación el 16 de marzo; las cajas transferidas están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</si>
  <si>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Informe de Política de "Cero papel" para aprobación del Comité Institucional de Gestión y Desempeño</t>
  </si>
  <si>
    <t># Informes finales de la Política de "Cero papel" para aprobación del Comité Institucional de Gestión y Desempeño</t>
  </si>
  <si>
    <t>Informe de Política y los indicadores de gestión ambiental y someterlos a aprobación del Comité Institucional de Gestión y Desempeño</t>
  </si>
  <si>
    <t># Informes de Política y los indicadores de gestión ambiental para aprobación del Comité Institucional de Gestión y Desempeño</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</si>
  <si>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préstamo de salas._x000D_
Solicitud de transporte. </t>
  </si>
  <si>
    <r>
      <t xml:space="preserve">Se realizó Jornada de socialización </t>
    </r>
    <r>
      <rPr>
        <b/>
        <i/>
        <sz val="10"/>
        <rFont val="Verdana"/>
        <family val="2"/>
      </rPr>
      <t>(Ver "11700-1-7-1 Citaciones Inducción SST Políticas y reglamento de higiene", "11700-1-7-1 Presentación", "11700-1-7-1 Asistencia a la Socialización")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Divulgación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</si>
  <si>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r>
      <t xml:space="preserve">Esta actividad fue reprogramada desde el 30 de enero de 2019 para el segundo trimestre de la presente vigencia </t>
    </r>
    <r>
      <rPr>
        <b/>
        <i/>
        <sz val="10"/>
        <rFont val="Verdana"/>
        <family val="2"/>
      </rPr>
      <t xml:space="preserve">(Ver correo electrónico "11700-1-9-1 Programación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gestión  y capacitación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</si>
  <si>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contratista de prestación de servicios mediante correo electrónico "Avances del cronograma de gestión  y capacitación SST".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</si>
  <si>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operador externo mediante correo electrónico "Avances del cronograma de gestión  y capacitación SST".</t>
    </r>
  </si>
  <si>
    <r>
      <rPr>
        <sz val="10"/>
        <rFont val="Verdana"/>
        <family val="2"/>
      </rPr>
      <t xml:space="preserve">Se realizó Jornada de socialización </t>
    </r>
    <r>
      <rPr>
        <b/>
        <i/>
        <sz val="10"/>
        <rFont val="Verdana"/>
        <family val="2"/>
      </rPr>
      <t>(Ver "11700-1-14 1 Listado asistencia socialización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"Divulgación")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t>
    </r>
    <r>
      <rPr>
        <sz val="10"/>
        <color rgb="FFFF0000"/>
        <rFont val="Verdana"/>
        <family val="2"/>
      </rPr>
      <t xml:space="preserve">
</t>
    </r>
    <r>
      <rPr>
        <sz val="10"/>
        <rFont val="Verdana"/>
        <family val="2"/>
      </rPr>
      <t>Esta jornada generó conciencia sobre los deberes y responsabilidades que tienen las partes interesadas en la ADRES sobre la implementación de unas políticas del Sistema de Gestión de Seguridad y Salud en el Trabajo.</t>
    </r>
  </si>
  <si>
    <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Inspección SSG"). </t>
    </r>
    <r>
      <rPr>
        <sz val="10"/>
        <rFont val="Verdana"/>
        <family val="2"/>
      </rPr>
      <t>De lo anterior, soportado por el contratista por prestación de servicios mediante el documento: "Informe marzo Contrato 70 de 2019 Radicado E000022226400".
Este producto permitió identificar y corregir algunas situaciones que se requieran frente a los riesgos.</t>
    </r>
  </si>
  <si>
    <r>
      <t xml:space="preserve">Inducción institucional realizada, evidencia a través de correo electrónico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conocer a los Servidores Públicos posesionados en el primer trimestre de la presente vigencia, las generalidades, aspectos informativos referente al funcionamiento de la ADRES, así como los lineamientos de tramites administrativos en el Grupo Interno de Gestión del Talento Humano y el link para consultar la estructura organizacional de la ADRES.</t>
    </r>
  </si>
  <si>
    <r>
      <rPr>
        <sz val="10"/>
        <rFont val="Verdana"/>
        <family val="2"/>
      </rPr>
      <t xml:space="preserve">Se realizó actividad de celebración por el día internacional de la mujer en las instalaciones de la ADRES </t>
    </r>
    <r>
      <rPr>
        <b/>
        <i/>
        <sz val="10"/>
        <rFont val="Verdana"/>
        <family val="2"/>
      </rPr>
      <t>(Ver "11700-1-40-4 Invitación 1 día la mujer", "11700-1-40-4 Invitación 2 día la mujer", "Fotografías Dia de la Mujer")</t>
    </r>
    <r>
      <rPr>
        <sz val="10"/>
        <rFont val="Verdana"/>
        <family val="2"/>
      </rPr>
      <t>, cumpliendo al 100% con este indicador.</t>
    </r>
    <r>
      <rPr>
        <sz val="10"/>
        <color rgb="FFFF0000"/>
        <rFont val="Verdana"/>
        <family val="2"/>
      </rPr>
      <t xml:space="preserve">
</t>
    </r>
    <r>
      <rPr>
        <sz val="10"/>
        <rFont val="Verdana"/>
        <family val="2"/>
      </rPr>
      <t>Esta actividad se realizó a costo "cero", a razón de que al corte del 29 de marzo de 2019, aún estaba en proceso de contratación.</t>
    </r>
  </si>
  <si>
    <t>Se socializa con todos los servidores públicos mediante correo electrónico los siguientes temas: Trámites y OPA; deberes que tenemos como entidad y  como servidores frente al tramite de las PQRSD; Cartilla del DNP Guía de lenguaje claro para servidores públicos en Colombia e invitación a inscripción curso virtual en la ESAP; Diapositiva realizada en conjunto con talento humano sobre "Uso de lenguaje claro en las comunicaciones del estado" Se adjunta la evidencia en la carpeta del Plan de Acción</t>
  </si>
  <si>
    <t>Política de Administración de Riesgos</t>
  </si>
  <si>
    <t>No hay Meta establecida para este trimestre</t>
  </si>
  <si>
    <t xml:space="preserve">SE ANEXA EVIDENCIA ENVIO CORREO ELECTRONICO DEL 14 DE JUNIO DE 2019, </t>
  </si>
  <si>
    <t>En la versión 01 del plan de acción 2019, la meta anual para este indicador era de un (1) producto, el cual se había programado su ejecución para el tercer trimestre. En la solicitud de cambios del plan de acción realizado en el mes de mayo de 2019, este producto no se incluyó en dicha solicitud por consiguiente debía permanecer con solo un producto en el trimestre 3.</t>
  </si>
  <si>
    <t>No hay meta establecida para este trimestre.
En la solicitud de cambios del plan de acción realizado en el mes de mayo y junio de 2019, para este producto se solicitó mover el cumplimiento del trimestre 2 al 4.</t>
  </si>
  <si>
    <t>En la versión 01 del plan de acción 2019, la meta anual para este indicador era de un (1) producto, el cual se había programado su ejecución para el primer trimestre. En la solicitud de cambios del plan de acción realizado en el mes de mayo de 2019, este producto no se incluyó en dicha solicitud por consiguiente debía permanecer con solo un producto en el trimestre 1: ya se completó y reportó.</t>
  </si>
  <si>
    <t>No hay meta establecida para este trimestre.
En la solicitud de cambios del plan de acción realizado en el mes de mayo y junio de 2019, para este indicador se solicitó la meta de un (1) producto anual y se dejara en trimestre 3 de cumplimiento.
Esta línea, producto 11700-1-16-1, está repetida en la celda 186</t>
  </si>
  <si>
    <r>
      <t xml:space="preserve">Ver control de cambios del plan de acción 2019: </t>
    </r>
    <r>
      <rPr>
        <i/>
        <sz val="10"/>
        <rFont val="Verdana"/>
        <family val="2"/>
      </rPr>
      <t xml:space="preserve">"Se retiran las actividades con códigos: 11700-1-17, 11700-1-18 y 11700-1-21 teniendo en cuenta que se dará cumplimiento mediante el contrato de prestación de servicios Número 69 y/o 70 de 2019. El rol de la entidad será hacer seguimiento" </t>
    </r>
  </si>
  <si>
    <r>
      <t>En el segundo trimestre de 2019, se presentaron dos (2) eventos de accidentes de trabajo, los cuales fueron investigados en compañía de los integrantes del COPASST y grupo de SG-SST.</t>
    </r>
    <r>
      <rPr>
        <b/>
        <sz val="10"/>
        <rFont val="Verdana"/>
        <family val="2"/>
      </rPr>
      <t xml:space="preserve"> (Ver dos informes de investigación y un informe de la ARL)</t>
    </r>
    <r>
      <rPr>
        <sz val="10"/>
        <rFont val="Verdana"/>
        <family val="2"/>
      </rPr>
      <t xml:space="preserve">. De lo anterior, soportado por los contratista de prestación de servicios mediante los informes de cumplimiento de obligaciones contractuales (Ver soportes de junio 2019 de los contratos 69 y 70).
Este producto permitió evidenciar la forma adecuada de atender, gestionar y registrar un incidente laboral. </t>
    </r>
  </si>
  <si>
    <r>
      <t xml:space="preserve">En el segundo trimestre de 2019, se realizó acompañamiento en reunión del COPASST para orientar a los objetivos y funcionamiento que debe tener este comité </t>
    </r>
    <r>
      <rPr>
        <b/>
        <sz val="10"/>
        <rFont val="Verdana"/>
        <family val="2"/>
      </rPr>
      <t>(Ver listado de asistencia)</t>
    </r>
    <r>
      <rPr>
        <sz val="10"/>
        <rFont val="Verdana"/>
        <family val="2"/>
      </rPr>
      <t xml:space="preserve">; se ejecutó inspección en las instalaciones del piso 9 de la torre 3, donde se evidenció riesgo en uno de los puestos de trabajo, del cual se emitieron recomendaciones y ajustes al mismo </t>
    </r>
    <r>
      <rPr>
        <b/>
        <sz val="10"/>
        <rFont val="Verdana"/>
        <family val="2"/>
      </rPr>
      <t>(Ver correo electrónico);</t>
    </r>
    <r>
      <rPr>
        <sz val="10"/>
        <rFont val="Verdana"/>
        <family val="2"/>
      </rPr>
      <t xml:space="preserve"> se realizó capacitación al Comité Paritario de Seguridad y Salud en el Trabajo, sobre investigación de accidentes de trabajo, el cual permite fortalecer conocimientos y proceso para participar en la respectivas investigaciones que se puedan presentar en la ADRES </t>
    </r>
    <r>
      <rPr>
        <b/>
        <sz val="10"/>
        <rFont val="Verdana"/>
        <family val="2"/>
      </rPr>
      <t>(Ver informe y listado de asistencia a capacitación).</t>
    </r>
    <r>
      <rPr>
        <sz val="10"/>
        <rFont val="Verdana"/>
        <family val="2"/>
      </rPr>
      <t xml:space="preserve">
De lo anterior, soportado por el contratista de prestación de servicios mediante los informes de cumplimiento de obligaciones contractuales (Ver soportes de mayo y junio 2019 del contratos 70).</t>
    </r>
  </si>
  <si>
    <r>
      <t xml:space="preserve">Ver control de cambios del plan de acción 2019: </t>
    </r>
    <r>
      <rPr>
        <i/>
        <sz val="10"/>
        <rFont val="Verdana"/>
        <family val="2"/>
      </rPr>
      <t xml:space="preserve">"Se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</si>
  <si>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r>
      <t>Ver control de cambios del plan de acción 2019:</t>
    </r>
    <r>
      <rPr>
        <i/>
        <sz val="10"/>
        <rFont val="Verdana"/>
        <family val="2"/>
      </rPr>
      <t xml:space="preserve">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</si>
  <si>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t xml:space="preserve">Ver control de cambios del plan de acción 2019: "Se retira la actividad 11700-1-24  por austeridad del gasto. Mediante oficio del 30/05/2019 se retiró del Plan Anual de Adquisiciones." </t>
  </si>
  <si>
    <t>No hay meta establecida para este trimestre.
En la solicitud de cambios del plan de acción realizado en el mes de mayo y junio de 2019, para este indicador se solicitó la meta de un (1) producto anual y se cumpliera en trimestre 4.</t>
  </si>
  <si>
    <r>
      <t>En el segundo trimestre de 2019 se registró gestión de orientación a esta capacitación en la Dirección de Liquidación y Garantías, sin embargo se evidenció la necesidad de fortalecer estos aspectos precisamente en dicha dependencia, por lo cual se continuará gestionando obtener esta capacitación con Entidades Externas a costo "Cero" conforme disponibilidad de terceros.</t>
    </r>
    <r>
      <rPr>
        <b/>
        <sz val="10"/>
        <rFont val="Verdana"/>
        <family val="2"/>
      </rPr>
      <t xml:space="preserve"> (Ver "Seguimiento cronograma PIC 2019" y soportes de correos electrónicos)</t>
    </r>
  </si>
  <si>
    <r>
      <t>En el segundo trimestre de 2019 se realizó la capacitación de Estadística evidenciado mediante</t>
    </r>
    <r>
      <rPr>
        <b/>
        <sz val="10"/>
        <rFont val="Verdana"/>
        <family val="2"/>
      </rPr>
      <t xml:space="preserve"> listados de asistencia y el informe de cumplimiento</t>
    </r>
    <r>
      <rPr>
        <sz val="10"/>
        <rFont val="Verdana"/>
        <family val="2"/>
      </rPr>
      <t xml:space="preserve"> de obligaciones contractuales por parte del Operador Externo.
Esta capacitación permitió brindar herramientas a los Servidores Públicos, a fin de mejorar la presentación de la información en las áreas de la entidad que manejan volúmenes altos de datos, y de lograr una adecuada recolección, información e interpretación de los datos.</t>
    </r>
  </si>
  <si>
    <r>
      <t>En el segundo trimestre de 2019 se registró gestión de búsqueda y solicitud a la ESAP y Función Pública.</t>
    </r>
    <r>
      <rPr>
        <b/>
        <sz val="10"/>
        <rFont val="Verdana"/>
        <family val="2"/>
      </rPr>
      <t xml:space="preserve"> (Ver "Seguimiento cronograma PIC 2019" y soportes de correo electrónico). </t>
    </r>
    <r>
      <rPr>
        <sz val="10"/>
        <rFont val="Verdana"/>
        <family val="2"/>
      </rPr>
      <t>Se continuará gestionando obtener esta capacitación con Entidades Externas a costo "Cero" conforme disponibilidad de terceros.</t>
    </r>
  </si>
  <si>
    <r>
      <t xml:space="preserve">En el segundo trimestre de 2019 se realizó Inducción institucional, evidencia a través de </t>
    </r>
    <r>
      <rPr>
        <b/>
        <sz val="10"/>
        <rFont val="Verdana"/>
        <family val="2"/>
      </rPr>
      <t xml:space="preserve">correos electrónicos. </t>
    </r>
    <r>
      <rPr>
        <sz val="10"/>
        <rFont val="Verdana"/>
        <family val="2"/>
      </rPr>
      <t xml:space="preserve">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r>
  </si>
  <si>
    <r>
      <t>En el segundo trimestre de 2019 se realizó la actividad de bienestar sobre el Día del Servidor público evidenciado mediante</t>
    </r>
    <r>
      <rPr>
        <b/>
        <sz val="10"/>
        <rFont val="Verdana"/>
        <family val="2"/>
      </rPr>
      <t xml:space="preserve"> listados de asistencia y el informe de cumplimiento de obligaciones</t>
    </r>
    <r>
      <rPr>
        <sz val="10"/>
        <rFont val="Verdana"/>
        <family val="2"/>
      </rPr>
      <t xml:space="preserve"> contractuales por parte del Operador Externo.
Se realizó la actividad de pausa activa sobre activación muscular y masajes, evidenciado mediante</t>
    </r>
    <r>
      <rPr>
        <b/>
        <sz val="10"/>
        <rFont val="Verdana"/>
        <family val="2"/>
      </rPr>
      <t xml:space="preserve"> listados de asistencia.</t>
    </r>
    <r>
      <rPr>
        <sz val="10"/>
        <rFont val="Verdana"/>
        <family val="2"/>
      </rPr>
      <t xml:space="preserve"> Cabe mencionar que el contratista mediante </t>
    </r>
    <r>
      <rPr>
        <b/>
        <sz val="10"/>
        <rFont val="Verdana"/>
        <family val="2"/>
      </rPr>
      <t>correo electrónico</t>
    </r>
    <r>
      <rPr>
        <sz val="10"/>
        <rFont val="Verdana"/>
        <family val="2"/>
      </rPr>
      <t xml:space="preserve"> manifestó que: </t>
    </r>
    <r>
      <rPr>
        <i/>
        <sz val="10"/>
        <rFont val="Verdana"/>
        <family val="2"/>
      </rPr>
      <t>"referentes a las actividades de pausas activas cobrare las mismas una vez se finalicen las 50 sesiones que se requiere para dar cumplimento al ítem 10. PREVENSION Y PROMOCIÓN EN SALUD numeral 10.2 pausas activas."</t>
    </r>
    <r>
      <rPr>
        <b/>
        <sz val="10"/>
        <rFont val="Verdana"/>
        <family val="2"/>
      </rPr>
      <t xml:space="preserve"> (ver  Seguimiento cronograma Plan Bienestar e Incentivos 2019)</t>
    </r>
    <r>
      <rPr>
        <sz val="10"/>
        <rFont val="Verdana"/>
        <family val="2"/>
      </rPr>
      <t xml:space="preserve">
Estas actividades permitieron cumplir con los propósitos del programa anual de Bienestar enfocados a estimular la sana utilización del tiempo libre de los servidores públicos y su núcleo familiar, brindando espacios de reconocimiento, agradecimiento, esparcimiento, además en contribuir al bienestar integral de los funcionarios, mediante la promoción de hábitos saludables, acciones de prevención de la salud, diagnostico temprano, tratamiento oportuno de los factores de riesgo</t>
    </r>
  </si>
  <si>
    <r>
      <t>Ver control de cambios del plan de acción 2019:</t>
    </r>
    <r>
      <rPr>
        <i/>
        <sz val="10"/>
        <rFont val="Verdana"/>
        <family val="2"/>
      </rPr>
      <t xml:space="preserve"> "Se eliminaron los productos con códigos: 11700-1-38-6, 11700-1-43-1, 11700-1-43-2 y 11700-1-43-4 por austeridad del gasto." </t>
    </r>
  </si>
  <si>
    <t xml:space="preserve">Ver control de cambios del plan de acción 2019: "Se eliminaron los productos con códigos: 11700-1-38-6, 11700-1-43-1, 11700-1-43-2 y 11700-1-43-4 por austeridad del gasto." </t>
  </si>
  <si>
    <t xml:space="preserve">Para este período se adelanto la consolidación de las respuestas dadas por los funcionarios a las PQRSD radicadas por el formulario web de la entidad, y se clasificaron aquellas en los que los ciudadanos calificaron las respuestas como no satisfactoria. Como recomendaciones, se socializa a todos los funcionarios la cartilla de lenguaje claro, se invitaron al todos los funcionarios al curso virtual del lenguaje claro dictado por la Función Publica y s e coordinó con talento humano unas mesas de trabajo para el mes de julio, en donde se trabajaran con los servidores públicos que atienden PQRSD con el fin de fortalecer competencias. Se adjunta la base de datos de las PQRSD evaluadas como no satisfactorias. De igual manera se generaron nuevas plantillas para dar respuesta a PQRSD y mejoramiento del texto de la respuesta a traslado por competencia.
</t>
  </si>
  <si>
    <t>Se elaboró el informe de satisfacción del canal presencial, en el que se evidencia que el servicio prestado por este canal, cumple con los protocolos de atención y el servicio es calificado como excelente (413 usuarios) y bueno  (63 usuarios). Durante este trimestre, fueron atendidos por el canal presencial un total de 958 usuarios, de los cuales 476 diligenciaron la encuesta. Es conocido que un buen servicio se ve reflejado en la disminución de PQRSD y es un referente para los demás ciudadanos que requieran atención en la Entidad.</t>
  </si>
  <si>
    <t>El DNP a través del Programa Nacional de Servicio al Ciudadano no Programó Ferias de servicio para este período, razón por la cual la ejecución es cero (0)</t>
  </si>
  <si>
    <t>No hay meta programada para este trimestre</t>
  </si>
  <si>
    <t>Se consolidó el informe II trimestre de 2019, el cual fue remitido a la Oficina de Control Interno y aprobado para su publicación en la página web</t>
  </si>
  <si>
    <t>En el trimestre se evidenció en el PAA que se tienen previstas 3 líneas por modalidad de Licitación Pública, en el periodo se publicó el Proceso ADRES-LP-001-2019, como evidencia de la convocatoria a Veedurías se tiene el documento "Pliego de condiciones"</t>
  </si>
  <si>
    <r>
      <t xml:space="preserve">En el segundo trimestre se realizó reunión de autocontrol para los procedimientos de Gestión del Talento Humano con la participación de los líderes de procesos, evidenciado mediante </t>
    </r>
    <r>
      <rPr>
        <b/>
        <sz val="10"/>
        <rFont val="Verdana"/>
        <family val="2"/>
      </rPr>
      <t>listado de asistencia.</t>
    </r>
  </si>
  <si>
    <r>
      <t>En el mes de mayo de 2019 se enviaron solicitudes escritas a unas dependencias de la ADRES desde Talento Humano, con el fin de que indiquen los cargos vacantes a proveer.</t>
    </r>
    <r>
      <rPr>
        <b/>
        <sz val="10"/>
        <rFont val="Verdana"/>
        <family val="2"/>
      </rPr>
      <t xml:space="preserve"> (Ver correos electrónicos).</t>
    </r>
  </si>
  <si>
    <r>
      <t>De 11 requerimientos, se realizaron 11 nombramientos</t>
    </r>
    <r>
      <rPr>
        <b/>
        <sz val="10"/>
        <rFont val="Verdana"/>
        <family val="2"/>
      </rPr>
      <t xml:space="preserve"> (Ver Resoluciones).</t>
    </r>
    <r>
      <rPr>
        <sz val="10"/>
        <rFont val="Verdana"/>
        <family val="2"/>
      </rPr>
      <t xml:space="preserve">
De lo anterior se evidencia una adecuada ejecución del Manual Operativo de Gestión del Talento Humano.</t>
    </r>
  </si>
  <si>
    <r>
      <t>De 11 nombramientos comunicados y aceptados, se realizaron 11 posesiones</t>
    </r>
    <r>
      <rPr>
        <b/>
        <sz val="10"/>
        <rFont val="Verdana"/>
        <family val="2"/>
      </rPr>
      <t xml:space="preserve"> (Ver Actas).
</t>
    </r>
    <r>
      <rPr>
        <sz val="10"/>
        <rFont val="Verdana"/>
        <family val="2"/>
      </rPr>
      <t xml:space="preserve">
De lo anterior se evidencia una adecuada ejecución del Manual Operativo de Gestión del Talento Humano.</t>
    </r>
  </si>
  <si>
    <t>Línea repetida en la celda 64 de esta versión de plan de acción 2019</t>
  </si>
  <si>
    <t>Durante este periodo no se registraron avances al respecto, toda vez que la actividad se desarrollará en el tercer trimestre del año.</t>
  </si>
  <si>
    <t>El 28 de mayo de 2019 se llevó a cabo un taller con integrantes de la Asociación de Laboratorios Farmacéuticos de Investigación y Desarrollo -AFIDRO- con el fin de socializar cómo se da el flujo de los recursos del sistema general de seguridad social en salud de Colombia. En la carpeta se adjuntan fotos como evidencias.</t>
  </si>
  <si>
    <r>
      <rPr>
        <b/>
        <sz val="10"/>
        <rFont val="Verdana"/>
        <family val="2"/>
      </rPr>
      <t>20190630.</t>
    </r>
    <r>
      <rPr>
        <sz val="10"/>
        <rFont val="Verdana"/>
        <family val="2"/>
      </rPr>
      <t xml:space="preserve">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912 
# Registros correctos igual a 0 
# Número total de registros notificados en auditorias correctivas igual a 912
Auditoria de 2199 producto dentro del plan de acción: 11600-1-1-1-3
# de registro depurados por ADRES igual a 27.386
# Registros correctos igual a 45.895 
# Número total de registros notificados en auditorias correctivas igual a 73.281
Teniendo en cuenta que la meta anual se definió como 100% y por lo tanto la meta trimestral quedo en 25%, el comportamiento del indicador para este periodo de medición fue 25%.
El soporte de medición de la evidencia para la actual actividad se encuentra en Evidencia\II trimestre\Estratégico\11600-1-1-1-2. </t>
    </r>
  </si>
  <si>
    <r>
      <rPr>
        <b/>
        <sz val="10"/>
        <rFont val="Verdana"/>
        <family val="2"/>
      </rPr>
      <t>20190630.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1.338 
#PQRSD BDUA recibidas con fecha máxima de respuesta en el trimestre igual a 1.339 
CRM
# PQRSD BDUA atendidas en términos de ley en el trimestre igual a 554
#PQRSD BDUA recibidas con fecha máxima de respuesta en el trimestre igual a 554 
Teniendo en cuenta que la meta anual se definió como 100% y por lo tanto la meta trimestral quedo en 25%, el comportamiento del indicador para este periodo de medición fue 24.98%.
El soporte de medición de la evidencia para la actual actividad se encuentra en Evidencia\II trimestre\Estratégico\11600-1-1-1-4 y corresponde al archivo 11600-1-1-1-4.xlsx. </t>
    </r>
  </si>
  <si>
    <r>
      <rPr>
        <b/>
        <sz val="10"/>
        <rFont val="Verdana"/>
        <family val="2"/>
      </rPr>
      <t xml:space="preserve">20190630. </t>
    </r>
    <r>
      <rPr>
        <sz val="10"/>
        <rFont val="Verdana"/>
        <family val="2"/>
      </rPr>
      <t>Para este trimestre, esta actividad no tenía alcance definido.</t>
    </r>
  </si>
  <si>
    <r>
      <t>20190630</t>
    </r>
    <r>
      <rPr>
        <sz val="11"/>
        <color theme="1"/>
        <rFont val="Calibri"/>
        <family val="2"/>
        <scheme val="minor"/>
      </rPr>
      <t xml:space="preserve">. Para este trimestre, conforme las directrices dadas por la OAPCR se deben realizar una reunión de autocontrol y seguimiento a los procesos que evidencien monitoreo a los riesgos, indicadores, planes de mejoramiento, manuales y documentos asociados. Para lo cual, el pasado 11 de junio de 2019 se llevó a cabo dicha reunión cuyas conclusiones fueron incluidas dentro del acta que se tuvo dicho día. Esta reunión contó con la participación de 07 integrantes de la DGTIC, conforme al listado de asistencia que como evidencia también se relaciona. Ver Evidencias Productos\II trimestre\Transversal\11600-2-7-1. De igual manera, se relaciona, copia del acta de dicha reunión. </t>
    </r>
  </si>
  <si>
    <r>
      <t>20190630</t>
    </r>
    <r>
      <rPr>
        <sz val="12"/>
        <color theme="1"/>
        <rFont val="Calibri"/>
        <family val="2"/>
        <scheme val="minor"/>
      </rPr>
      <t>. Para este trimestre, esta actividad no tenía alcance definido.</t>
    </r>
  </si>
  <si>
    <r>
      <rPr>
        <b/>
        <sz val="10"/>
        <rFont val="Verdana"/>
        <family val="2"/>
      </rPr>
      <t>20190630</t>
    </r>
    <r>
      <rPr>
        <sz val="10"/>
        <rFont val="Verdana"/>
        <family val="2"/>
      </rPr>
      <t xml:space="preserve">. De manera colaborativa con la OAPCR se ha trabajado en la construcción de la Política Integral de Administración de Riesgos, en la cual se incluyen los riesgos de Corrupción, Operativos y de Seguridad de la información. La cual fue aprobada mediante el acta 03 del pasado 12 de junio de 2019. (Ver: Acta03_20190612.pdf)
La política no se ha publicado en la página Web, ya que, al momento del cierre del presente reporte, se encontraba en revisión la resolución por la cual se adoptará esta y adicionalmente, será puesta en conocimiento de la Junta Directiva de la ADRES </t>
    </r>
  </si>
  <si>
    <r>
      <rPr>
        <b/>
        <sz val="10"/>
        <rFont val="Verdana"/>
        <family val="2"/>
      </rPr>
      <t>20190630.</t>
    </r>
    <r>
      <rPr>
        <sz val="10"/>
        <rFont val="Verdana"/>
        <family val="2"/>
      </rPr>
      <t xml:space="preserve"> Para este trimestre, esta actividad no tenía alcance definido.</t>
    </r>
  </si>
  <si>
    <r>
      <rPr>
        <b/>
        <sz val="10"/>
        <rFont val="Verdana"/>
        <family val="2"/>
      </rPr>
      <t>20190630</t>
    </r>
    <r>
      <rPr>
        <sz val="10"/>
        <rFont val="Verdana"/>
        <family val="2"/>
      </rPr>
      <t>. Para este trimestre, esta actividad no tenía alcance definido.</t>
    </r>
  </si>
  <si>
    <r>
      <rPr>
        <b/>
        <sz val="10"/>
        <rFont val="Verdana"/>
        <family val="2"/>
      </rPr>
      <t xml:space="preserve">20190630. </t>
    </r>
    <r>
      <rPr>
        <sz val="10"/>
        <rFont val="Verdana"/>
        <family val="2"/>
      </rPr>
      <t>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60% frente a la escala de calificación del ciclo PHVA y un cumplimiento de 53%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Productos\II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</si>
  <si>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20190630.</t>
    </r>
    <r>
      <rPr>
        <sz val="10"/>
        <rFont val="Verdana"/>
        <family val="2"/>
      </rPr>
      <t xml:space="preserve"> Dentro del plan de capacitación y sensibilización se definió el modelo de sensibilización frente a Seguridad de la información que se llevará a cabo para 2019 ver Evidencia\II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Evidencia\II trimestre\Transversal\11600-2-16\ _MSPI_ - Material para sensibilización.msg).
La campaña se realizó entre 20 de junio de 2019 y 05 de julio de 2019; en la ubicación Evidencia\II trimestre\Transversal\11600-2-16\, se encuentran algunas evidencias de la sensibilización realizada.
Esta actividad no tiene relacionado recurso financiero.</t>
    </r>
  </si>
  <si>
    <r>
      <rPr>
        <b/>
        <sz val="10"/>
        <rFont val="Verdana"/>
        <family val="2"/>
      </rPr>
      <t>20190630.</t>
    </r>
    <r>
      <rPr>
        <sz val="10"/>
        <rFont val="Verdana"/>
        <family val="2"/>
      </rPr>
      <t xml:space="preserve">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Evidencia\II trimestre\Transversal\11600-2-17 se copia del acta del comité (Acta_Comite_Institucional_Gestión_Desempeño.PDF), así como documento guía para el plan de capacitación y sensibilización ([PROYECTO] PL01 Plan Capacitación SPI.docx). 
Para este trimestre se tenia proyectada la primera jornada de capacitación, la cual se llevó a cabo entre el 29 de abril al 03 de mayo, en la ruta Evidencias Productos\II trimestre\Transversal\11600-2-17-1\Capacitación1 se han dejado las evidencias de los listados de asistencia de esta jornada</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</si>
  <si>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</si>
  <si>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Para este trimestre, esta actividad no tenía alcance definido</t>
    </r>
  </si>
  <si>
    <t>Entre el trimestre de abril a junio de 2019, se registraron 117.726 partidas recaudadas, de las cuales se identificaron 117.702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abril a junio de 2019.</t>
  </si>
  <si>
    <t>En el periodo se da cumplimiento al avance del 25%, se generaron 60 Boletines Diarios: 20 en abril, 22 en mayo y 18 en junio; donde se registran los recursos por transacciones bancarias. Se anexa a la carpeta compartida por la OAPCR, la relación de boletines diarios realizados en el II Trimestre de 2019.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</si>
  <si>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Para este periodo no se inicia con la implementación de el SARL, SARC y SARM, se inicia ejecución a partir del tercer trimestre de 2019. </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</si>
  <si>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</si>
  <si>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Para el saneamiento de aportes patronales de régimen especial se realizaron certificaciones de conciliación con 2 ESEs y la Subred Integrada de Servicios del Norte.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</si>
  <si>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</si>
  <si>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implementadas las glosas GNP033 y GNP034 en el proceso de prestaciones económicas en pro de validar el tipo de licencia con el género y la edad laboral para el cobro de la licencia.
En la fase de preliquidación fue fortalecido el script de validaciones con respecto a los beneficiarios de más de 25 años sin condición de discapacidad.
Con cargo a esta actividad se ejecuta el contrato de prestación de servicios No. 043_2019.</t>
  </si>
  <si>
    <t>En el segundo trimestre fueron radicadas  1.076 solicitudes de prestaciones económicas de regímenes especiales o exceptuados, a 30 de junio 848 solicitudes se encontraban en términos de respuesta. 
Con cargo a esta actividad se ejecuta el contrato de prestación de servicios No.059_2019.</t>
  </si>
  <si>
    <t>En el segundo trimestre fueron radicadas  209 solicitudes de devolución de aportes de regímenes especiales o exceptuados, a 30 de junio 183 solicitudes se encontraban en términos de respuesta. 
Con cargo a esta actividad se ejecuta el contrato de prestación de servicios No. 060_2019.</t>
  </si>
  <si>
    <t>En el segundo trimestre se ejecutaron tres (3) procesos de Liquidación Mensual de Afiliados, en los tiempos establecidos en la normativa vigente, se  generó la certificación y la bitácora de cada proceso como se evidencia en los soportes de esta actividad.</t>
  </si>
  <si>
    <t>Se ejecutó la auditoría ARS0011 en la cual se identificaron hallazgos para 46 EPS del régimen subsidiado y la auditoría ARCON004 que generó hallazgos para 48 EPS del régimen contributivo.
A cada EPS se remitió la solicitud de aclaración según la normativa vigente. Ver anexo "11400-1-1-9.xlsx".</t>
  </si>
  <si>
    <t>No aplica para el  trimestre</t>
  </si>
  <si>
    <t>El de 17 mayo de 2019 se efectuó una charla con el equipo de la Subdirección de Garantías donde se abordaron temas relacionados con la actividad. Se adjunta la evidencia correspondiente.</t>
  </si>
  <si>
    <t>Se apoyó en la elaboración del Plan de Continuidad del Negocio, el cual tiene como finalidad la definición de lineamientos para asegurar la continuidad del negocio. Junto a esto se presentaron documentos complementarios, los cuales son: 1) Guía de recuperación para servicios o sistemas de información y 2) procedimiento recuperación de desastres de servicios y sistemas de información.
Las evidencias se encuentran en la carpeta 12000-1-2-1
1)Cronograma de actividades PCN
2)Plan de Continuidad del Negocio ADRES v4
3)Proyecto DRP
4) proyecto HVAPP
5) Proyecto DRP_PROC</t>
  </si>
  <si>
    <t>En el trimestre se realizaron dos reuniones de autocontrol.</t>
  </si>
  <si>
    <t>Se realizaron un total de 6 solicitudes a las dependencias, ver en carpeta de evidencias soportes respectivos</t>
  </si>
  <si>
    <t>Durante el segundo trimestre del año 2019 (abril a junio), se recibieron por parte de la Firma Auditora tres (3) paquetes de recobros (0418_1, 0418_1_1 y 1118_1). Los tres (3) paquetes fueron validados y las observaciones fueron remitidas a la Unión Temproal por la Dirección de Otras Prestaciones.
La Firma Auditora no presentó facturas de cobro por comisión de paquete en los meses de abril, mayo y junio de 2019.</t>
  </si>
  <si>
    <t>En cuanto a reclamaciones, fueron remitidos por la Firma Auditora trece (13) paquetes los cuales fueron validados y las observaciones fueron remitidas a la UT por la DOP de la ADRES.</t>
  </si>
  <si>
    <t>La Dirección de Otras Prestaciones adoptó un formato en Excel en el cual elabora el seguimiento de los paquetes (bitácora) de todos y cada uno de los paquetes por concepto de recobros y por concepto de reclamaciones. Sobre el particular se diligencian las fechas de remisión, las fechas de revisión por parte de la ADRES, fechas de conciliación, cantidades, valores y observaciones derivadas del seguimiento.</t>
  </si>
  <si>
    <t>Se solicitaron y se resolvieron 375 apoyos técnicos en abril, mayo y junio de 2019._x000D_
_x000D_
Se informa que el valor asignado para el desarrollo de la actividad en el primer trimestre corresponde al valor pagado a los contratistas (del 01 de abril al 30 de junio de 2019)</t>
  </si>
  <si>
    <t xml:space="preserve">Los avances realizados en el marco de la optimación y sistematización del proceso de auditoría integral de recobros y reclamaciones, se adelantaron las siguientes actividades: 
RECOBROS: Estructuración (Identificación de necesidades de información, Definición fuentes para consulta información, Definición criterios de validación y Socialización con EPS); Parametrización (Desarrollo en sistema de validaciones automáticas, Socialización con EPS [validaciones] y Estabilización sitio de pruebas); Pruebas (Pruebas de desarrollos con 3 EPS, Pruebas con info. EPS y Ajuste de validaciones)
Se adjunta una presentación (PPT) en la cual se evidencia el avance de cada una de las etapas (diapositiva # 15)
RECLAMACIONES: En cuanto a reclamaciones, se adjuntan las presentaciones en las cuales se detallan las actividades elaboradas en la reingeniería y mejoras del proceso de reclamaciones
</t>
  </si>
  <si>
    <t xml:space="preserve">Se efectuaron las publicaciones de los giros de recobros de los meses de abril, mayo y junio de 2019 en la página web de la ADRES, en donde se informaron los pagos de los giros previos, el pago del paquete de la radicación de abril de 2018 y los giros de los desistimientos. </t>
  </si>
  <si>
    <t>Se ordenaron veintitrés (23) paquetes de reclamaciones en el segundo trimestre del año 2019 correspondientes a los números 24008, 24033, 24018, 24015, 24030, 24016, 24019, 24022, 24023, 24024, 24025, 24037, 24040, 24038, 24036, 24035, 24034, GP0419, GP0518, 24044, 24058, 24047 y 24050.</t>
  </si>
  <si>
    <t>Se efectuaron las publicaciones de los veintitrés (23) paquetes de reclamaciones girados en el segundo trimestre del año.</t>
  </si>
  <si>
    <t>Se efectuó una reunión de autocontrol en la Dirección de Otras Prestaciones en la cual se revisaron los temas asociados a los Planes de Mejoramiento, los Manuales Técnicos de la DOP, Riesgos, Plan de Acción e Indicadores.</t>
  </si>
  <si>
    <t>En el segundo trimestre del año se continuó la labor de adelantamiento de la reingeniería del proceso de reclamaciones dentro del cual se contempla la actualización del formulario FURPEN. Esta actualización se tendrá lista al finalizar el cuarto trimestre del 2019.</t>
  </si>
  <si>
    <t>Se da cumplimiento al reporte correspondiente al segundo trimestre de 2019, el jueves 11 de julio de 2019.</t>
  </si>
  <si>
    <r>
      <t xml:space="preserve">Se dio cumplimiento al avance del 15% correspondiente a la realización de 2 informes de seguimientos y evaluaciones de control interno realizadas en el trimestre. En la ruta </t>
    </r>
    <r>
      <rPr>
        <b/>
        <sz val="10"/>
        <rFont val="Verdana"/>
        <family val="2"/>
      </rPr>
      <t>\ADRES\Plan de Acción 2019 - Oficina Control Interno\Evidencias Productos\II trimestre\11800-1-2-1,</t>
    </r>
    <r>
      <rPr>
        <sz val="10"/>
        <rFont val="Verdana"/>
        <family val="2"/>
      </rPr>
      <t xml:space="preserve"> se encuentran 2 carpetas con los respectivos informes y soportes de cumplimiento.
1.	GESTIÓN DE TECNOLOGIAS: Gestión de Requerimientos.
2.	GESTIÓN CONTABLE Y CONTROL DE RECURSOS: Generación de Estados Financieros (URA Abril -Mayo).</t>
    </r>
  </si>
  <si>
    <r>
      <t xml:space="preserve">Se dio cumplimiento al avance del 55% correspondiente a la realización de 6 informes para dar respuesta a los Requerimientos Legales Internos. En la ruta </t>
    </r>
    <r>
      <rPr>
        <b/>
        <sz val="10"/>
        <rFont val="Verdana"/>
        <family val="2"/>
      </rPr>
      <t>\ADRES\Plan de Acción 2019 - Oficina Control Interno\Evidencias Productos\II trimestre\11800-1-3-1</t>
    </r>
    <r>
      <rPr>
        <sz val="10"/>
        <rFont val="Verdana"/>
        <family val="2"/>
      </rPr>
      <t>, se encuentran 6 carpetas con los respectivos informes y soportes de cumplimiento.
1.	Seguimiento a las medidas de austeridad en el gasto público en ADRES (Informe).
2.	Seguimiento a la Ley de Transparencia 1712 de 2014 (Informe).
3.	Seguimiento Plan Anticorrupción (Informe).
4.	Seguimiento al cumplimiento del Artículo 76 de la ley 1474 de 2011 (Informe).
5.	Arqueo Caja Menor - ADRES- 2019 (Informe).
6.	Evaluación a una muestra de contratos de prestación de servicios profesionales y apoyo a la gestión, y otras modalidades (Informe).</t>
    </r>
  </si>
  <si>
    <r>
      <t>Se dio cumplimiento al avance del 67% correspondiente a la realización de 4 informes para dar respuesta a los Requerimientos Legales Externos. En la ruta \</t>
    </r>
    <r>
      <rPr>
        <b/>
        <sz val="10"/>
        <rFont val="Verdana"/>
        <family val="2"/>
      </rPr>
      <t>ADRES\Plan de Acción 2019 - Oficina Control Interno\Evidencias Productos\II trimestre\11800-1-4-1</t>
    </r>
    <r>
      <rPr>
        <sz val="10"/>
        <rFont val="Verdana"/>
        <family val="2"/>
      </rPr>
      <t>, se encuentran 4 carpetas con los respectivos informes y soportes de cumplimiento.
1.	Revisión y envío de la Gestión Contractual del Trimestre a la CGR, a través del SIRECI (Reporte).
2.	Acompañamiento y Consolidación del Informe de Rendición de la Cuenta Fiscal Anual y envío a la Contraloría General de la República (Reporte – Informe).
3.	Informe del Estado de Ejecución del Presupuesto de la Entidad al cierre de la vigencia. Anual para la comisión legal de cuentas (Reporte) .
4.	Seguimiento y Evaluación Mapa de Riesgos Institucional y de corrupción (Informe).</t>
    </r>
  </si>
  <si>
    <t xml:space="preserve">Cumplimiento acumulado del 50%. NO se tenían actividades programadas para este trimestre. </t>
  </si>
  <si>
    <r>
      <t xml:space="preserve">Se da cumplimiento al avance del 50% correspondiente a la emisión de 3 Boletines de autocontrol. En la ruta </t>
    </r>
    <r>
      <rPr>
        <b/>
        <sz val="10"/>
        <rFont val="Verdana"/>
        <family val="2"/>
      </rPr>
      <t>\ADRES\Plan de Acción 2019 - Oficina Control Interno\Evidencias Productos\II trimestre\11800-1-6-</t>
    </r>
    <r>
      <rPr>
        <sz val="10"/>
        <rFont val="Verdana"/>
        <family val="2"/>
      </rPr>
      <t>1 se encuentran los 3 boletines emitidos por la OCI correspondientes a los meses de abril, mayo y junio de 2019. 
1.	Boletín No. 4 - Directrices Asociadas a Austeridad en el Gasto Público.
2.	Boletín No. 5 - Modelo Integrado de Planeación y Gestión.
3.	Boletín No. 6 - ¿Qué es el Autocontrol?</t>
    </r>
  </si>
  <si>
    <t>La OCI realiza reuniones mensuales de autocontrol. Se anexan 3 actas de reunión.</t>
  </si>
  <si>
    <t>El acercamiento proyectado para este trimestre se realizará en el inmediatamente siguiente</t>
  </si>
  <si>
    <t xml:space="preserve">No hay meta para el trimestre. Sin embargo esta actividad se encuentra vinculada al contrato 054 de 2019 asignado al señor JAIRO WILLIAM GUERRERO MALAGON, quien ha venido desarrollando actividades tendientes a dar cumplimiento a la meta fijada en el año. Por lo anterior, se adjuntan los informes de gestión del contratista. </t>
  </si>
  <si>
    <t xml:space="preserve">Semanalmente los abogados entregan la gestión realizada frente a las reclamaciones que se encuentran en reparto, lo que permite tener una retroalimentación afectiva de la gestión de cobro realizada. Se anexa base con las reclamaciones que contienen los actos administrativos relacionados. Esta actividad se encuentra vinculada al contrato No. 77 de JUAN SEBASTIAN HERNANDEZ ESPINOSA, por lo cual se anexan los respectivos informes de gestión del contratista. </t>
  </si>
  <si>
    <t xml:space="preserve">No hay meta para el trimestre </t>
  </si>
  <si>
    <t xml:space="preserve">No hay meta para el trimestre. Sin embargo la actividad esta asociada al contrato 038 de 2019 de SANDRA PATRICIA HOYOS RODRIGUEZ, quien ha venido desarrollando actividades tendientes a dar cumplimiento a la meta fijada en el año. Por lo anterior, se adjuntan los informes de gestión del contratista. _x000D_
</t>
  </si>
  <si>
    <t>no hay meta establecida para este trimestre</t>
  </si>
  <si>
    <t xml:space="preserve">DURANTE EL TRIMESTRE LA DEFENSA DE LOS TRES PROCESOS OBJETO DE ESTA LÍNEA SE CUMPLIÓ A CABALIDAD, SE GENERARON 4 PRODUCTOS LOS CUALES FUERON DEBIDAMENTE PAGADOS. </t>
  </si>
  <si>
    <t xml:space="preserve">SE REPORTA CUMPLIMIENTO EN LA MEDIDA EN QUE DURANTE EL TRIMESTRE NO SE HIZO NECESARIO SOLICITARLE AL CONTRATISTA RECURSOS DE CASACIÓN. POR LO EXPUESTO, EL CONTRATO DEL DR. JOSE RICARDO HERRERA NO REPORTA CUENTAS DE COBRO HASTA LA FECHA.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</si>
  <si>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EN EL MES DE MAYO SE REPORTARON ACCIONES DE CUMPLIMIENTO, RESPECTO DE LAS CUALES SE SOLICITÓ EXCLUSIÓN YA QUE EL GRUPO DE TUTELAS RECIBE LOS MOVIMIENTOS DE ESTAS VIA ELECTRÓNICA Y SIN NECESIDAD DE GENERAR GASTOS ADICIONALES A LA ENTIDAD. 
COMO SOPORTES SE ALLEGA  BASE DE DATOS DE PROCESOS JUDICIALES VIGILADOS /PROCESOS ENTREGADOS POR ADRES EN VÍA JUDICIAL Y EN ARCHIVO ADICIONAL SE RELACIONAN LOS PROCESOS ADMINISTRATIVOS (SUPERINTENDENCIA ) ENTREGADOS Y VIGILADOS.  . </t>
  </si>
  <si>
    <t xml:space="preserve">DURANTE EL TRIMESTRE SE REQUIRIÓ LA LIQUIDACIÓN DE 5 EXPEDIENTES, DE LOS CUALES 1 SE ENCUENTRA PENDIENTE DE PAGO, YA QUE POR ASPECTOS AJENOS A LA ENTIDAD PERO DE INDOLE PROCESAL, FUE NECESARIO SOLICITAR PRONUNCIAMIENTO DEL DESPACHO JUDICIAL Y A LA FECHA ESTAMOS A LA ESPERA DE ESTE. 
COMO SOPORTES SE CARGA LA LIQUIDACIÓN REALIZADA EN CADA PROCESO, Y LAS CUENTAS DE COBRO    .  </t>
  </si>
  <si>
    <t>COMO SOPORTE SE CARGA EL REPORTE EMITIDO POR LA PLATAFORMA EKOGUI PARA CORTE JUNIO DE 2019, DONDE SE EVIDENCIA QUE HAY UN TOTAL DE 1947 PROCESOS, DE LOS CUALES 1924 PRESENTAN ASIGNACIÓN A LOS APODERADOS DE LA ENTIDAD (YA QUE FUERON REGISTRADOS POR ESTOS, FILTRAR COLUMNA BL) Y 23 QUE SE ENCUENTRAN VACÍOS. ESTA DIFERENCIA EN TODO CASO OBEDECE A QUE A LA FECHA NOS ENCONTRAMOS EN ETAPA DE NOTIFICACIÓN. 
AHORA BIEN, ES IMPORTANTE MANIFESTAR QUE EL INDICADOR DE 350/373 PROCESOS OBEDECE A LA DIFERENCIA DEL REPORTE QUE SE TENÍA A MARZO DE 2019 VS REPORTE JUNIO DE 2019 QUE  IGUALMENTE  SE CARGA EN LAS EVIDENCIAS PARA SU RESPECTIVA VALIDACIÓN, SIN EMBARGO, SE ACLARA QUE LA CANTIDAD DE PROCESOS QUE LA PLATAFORMA PERMITÍA RADICAR, DERIVA DEL TOTAL DE PROCESOS REGISTRADOS EN LA BASE ADJUNTA POR LA ANDJE. </t>
  </si>
  <si>
    <t>SE ADJUNTA EN LOS SOPORTES EL OFICIO POR MEDIO DEL CUAL SE REMITIÓ LA PROVISIÓN CONTABLE POR PARTE DE LA OAJ</t>
  </si>
  <si>
    <t xml:space="preserve">DURANTE EL TRIMESTRE SE REQUIRIÓ LA ASISTENCIA DE ADRES EN 16 PROCESOS JUDICIALES EN CALIDAD DE VÍCTIMA, Y SE OBTUVO UNA ASISTENCIA A 15 AUDIENCIAS.  RESPECTO DE LA AUDIENCIA EN QUE NO FUIMOS REPRESENTADOS, SE CUENTA CON UNA INCAPACIDAD DEL APODERADO QUE LE IMPIDIÓ CUMPLIR
COMO SOPORTE DE ESTA ACTIVIDAD SE PUEDE VALIDAR POR EL AREA DE PLANEACION LAS CUENTAS DE COBRO PRESENTADAS EN LA OBLIGACION 1 QUE DETALLAN POR MES LA ASISTENCIA A LAS AUDIENCIAS. .  </t>
  </si>
  <si>
    <t>SE APORTA EXCEL POR MES QUE DA CUENTA DE ESTA ACCION Y SE REPORTA EN LAS OBLIGACIONES DELCONTRATO</t>
  </si>
  <si>
    <t xml:space="preserve">SE EVIDENCIA UN REPARTO SUPERIOR EN PROCESOS JUDICIALES, SIN EMBARGO CON VENCIMIENTO DE TÉRMINOS O QUE SIN VENCIMIENTO FUERON CONTESTADAS EN DEBIDA OPORTUNIDAD, SE CUENTA CON UN REGISTRO DE 136 EXPEDIENTES, CUYOS SOPORTES SE ADJUNTAN, E IGUALMENTE PUEDEN SER VALIDADOS CONTRA EL ARCHIVO DE LA ENTIDAD
SE ADJUNTA COMO SOPORTES ARCHIVOS EN EXCEL CONTENTIVOS DE LA BASE DE REPARTO DE LAS DEMANDAS, LAS CONTESTADAS EN OPORTUNIDAD Y AQUELLAS QUE SE ENCUENTRAN EN TÉRMINOS. . </t>
  </si>
  <si>
    <t>SE RELACIONAN LAS PRUEBAS SOLICITADAS POR LOS DESPACHOS JUDICIALES, PERO DEBE TENERSE EN CUENTA QUE NO TODOS LOS REQUERIMIENTOS LLEGAN POR ESCRITO, SINO QUE HAY REQUERIMIENTOS EN AUDIENCIA, QUE EN TODO CASO SON SATISFECHOS DENTRO DE LOS TERMINOS OTORGADOS POR LOS JUECES, RAZÓN POR LA CUAL EL SOPORTE ES MAYOR AL CUADRO EXCEL QUE CONTIENE LOS REQUERIMIENTOS FÍSICOS QUE LLEGAN A ADRES.  
IGUALMENTE, ES IMPORTANTE QUE SE TENGA EN CUENTA QUE 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</si>
  <si>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 xml:space="preserve">DURANTE EL TRIMESTRE SE PRESENTARON DIFICULTADES PARA SOMETER A ESTUDIO CIERTOS ASUNTOS RELACIONADOS CON AUDITORÍA INTEGRAL, YA QUE REQUERÍAN LA VALIDACIÓN DEL ENTE AUDITOR, SIN EMBARGO, TRAS EFECTUAR SOLICITUDES DE CONCEPTO TÉCNICO QUE RESPALDARAN CUALQUIER DECISION PROPUESTA POR LA OAJ, NO FUE POSIBLE CONTAR CON ESTAS Y POR TANTO SE RESOLVIÓ CONTINUAR EL ESTUDIO CON EL APOYO TÉCNICO QUE ARROJA LA DIRECCIÓN DE TIC DE LA ADRES. DICHA SITUACIÓN GENERÓ LA NECESIDAD DE AMPLIAR LA CONTRATACIÓN DE LA OAJ PARA CONTAR CON UN MÉDICO ESPECIALISTA EN AUDITORÍA INTEGRAL. .  </t>
  </si>
  <si>
    <t xml:space="preserve">SE DISPUSO LA CREACIÓN DE ENLACES EN EL GRUPO DE PRE JUDICIAL, QUE PERMITIERA QUE LOS ABOGADOS DE DEFENSA JUDICIAL CONTARAN CON LOS PARÁMETROS EN SUS AUDIENCIAS, SEGUN FUERAN REQUERIDOS, COMO SOPORTE SE ALLEGA BASE DE CONTROL DE ASUNTOS JUDICIALES SOMETIDOS AL COMITÉ Y LAS FICHAS HACEN PARTE DE LA EVIDENCIA DEL PUNTO 11900-1-12-3. </t>
  </si>
  <si>
    <t xml:space="preserve">EL CONTRATO CUYO OBJETO ERA BRINDAR APOYO EN EL COMITÉ DE CONCILIACIÓN DE ADRES, ESPECÍFICAMENTE EN LA SECRETARÍA TÉCNICA TERMINÓ, SIN EMBARGO SE CUENTA CON EL APOYO DE UNA FUNCIONARIA EN LAS ACTIVIDADES, LO QUE HA PERMITIDO CUMPLIMIENTO. </t>
  </si>
  <si>
    <t>Los valores registrados en la columna BE corresponden a los entregados por la Dirección Administrativa y Financiera</t>
  </si>
  <si>
    <t>Se carga como evidencia la programación en la agenda del Jefe de la Oficina Asesora Jurídica</t>
  </si>
  <si>
    <r>
      <rPr>
        <sz val="10"/>
        <color rgb="FFFF0000"/>
        <rFont val="Verdana"/>
        <family val="2"/>
      </rPr>
      <t>Priorización de Trámites</t>
    </r>
    <r>
      <rPr>
        <sz val="10"/>
        <rFont val="Verdana"/>
        <family val="2"/>
      </rPr>
      <t xml:space="preserve">
Racionalización de Tramites</t>
    </r>
  </si>
  <si>
    <r>
      <t xml:space="preserve">Información de calidad y en formato comprensible
</t>
    </r>
    <r>
      <rPr>
        <sz val="10"/>
        <color rgb="FFFF0000"/>
        <rFont val="Verdana"/>
        <family val="2"/>
      </rPr>
      <t>Evaluación y Retroalimentación a la Gestión Institucional</t>
    </r>
  </si>
  <si>
    <r>
      <t xml:space="preserve">Mecanismos para mejorar la atención al ciudadano
</t>
    </r>
    <r>
      <rPr>
        <sz val="10"/>
        <color rgb="FFFF0000"/>
        <rFont val="Verdana"/>
        <family val="2"/>
      </rPr>
      <t>Mecanismos para la transparencia y el acceso a la información pública</t>
    </r>
  </si>
  <si>
    <r>
      <t xml:space="preserve">
</t>
    </r>
    <r>
      <rPr>
        <sz val="10"/>
        <color rgb="FFFF0000"/>
        <rFont val="Verdana"/>
        <family val="2"/>
      </rPr>
      <t xml:space="preserve">Talento Humano
</t>
    </r>
    <r>
      <rPr>
        <sz val="10"/>
        <rFont val="Verdana"/>
        <family val="2"/>
      </rPr>
      <t xml:space="preserve">
Normativo y procedimental
</t>
    </r>
    <r>
      <rPr>
        <sz val="10"/>
        <color rgb="FFFF0000"/>
        <rFont val="Verdana"/>
        <family val="2"/>
      </rPr>
      <t>Lineamientos de transparencia pasiva</t>
    </r>
  </si>
  <si>
    <r>
      <rPr>
        <sz val="10"/>
        <color rgb="FFFF0000"/>
        <rFont val="Verdana"/>
        <family val="2"/>
      </rPr>
      <t>Talento Humano</t>
    </r>
    <r>
      <rPr>
        <sz val="10"/>
        <rFont val="Verdana"/>
        <family val="2"/>
      </rPr>
      <t xml:space="preserve">
Fortalecimiento de canales de atención</t>
    </r>
  </si>
  <si>
    <r>
      <rPr>
        <sz val="10"/>
        <color rgb="FFFF0000"/>
        <rFont val="Verdana"/>
        <family val="2"/>
      </rPr>
      <t>Talento Humano</t>
    </r>
    <r>
      <rPr>
        <sz val="10"/>
        <rFont val="Verdana"/>
        <family val="2"/>
      </rPr>
      <t xml:space="preserve">
Fortalecimiento de canales de atención
</t>
    </r>
    <r>
      <rPr>
        <sz val="10"/>
        <color rgb="FFFF0000"/>
        <rFont val="Verdana"/>
        <family val="2"/>
      </rPr>
      <t>Lineamientos de transparencia pasiva</t>
    </r>
  </si>
  <si>
    <r>
      <t xml:space="preserve">Normativo y procedimental
</t>
    </r>
    <r>
      <rPr>
        <sz val="10"/>
        <color rgb="FFFF0000"/>
        <rFont val="Verdana"/>
        <family val="2"/>
      </rPr>
      <t>Lineamientos de transparencia pasiva</t>
    </r>
  </si>
  <si>
    <r>
      <t xml:space="preserve">Relacionamiento con el ciudadano
</t>
    </r>
    <r>
      <rPr>
        <sz val="10"/>
        <color rgb="FFFF0000"/>
        <rFont val="Verdana"/>
        <family val="2"/>
      </rPr>
      <t>Criterio Diferencial de Accesibilidad</t>
    </r>
  </si>
  <si>
    <t>Criterio Diferencial de Accesibilidad</t>
  </si>
  <si>
    <t>Mecanismos para la transparencia y el acceso a la información pública</t>
  </si>
  <si>
    <r>
      <t xml:space="preserve">Normativo y procedimental
</t>
    </r>
    <r>
      <rPr>
        <sz val="10"/>
        <color rgb="FFFF0000"/>
        <rFont val="Verdana"/>
        <family val="2"/>
      </rPr>
      <t>Lineamientos de transparencia pasiva
Monitoreo y Acceso a la Información Pública</t>
    </r>
  </si>
  <si>
    <t>Iniciativas adicionales</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</si>
  <si>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 Guillermo 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 Luis Antonio 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 Andrés Páez.
Por lo tanto, para el presente seguimiento, se tenía definido un total de $36.720.000, de los cuales hasta el momento se han causado obligaciones por un valor de $23.392.000 dando un cumplimiento de 63.70%.</t>
  </si>
  <si>
    <r>
      <rPr>
        <b/>
        <sz val="10"/>
        <rFont val="Verdana"/>
        <family val="2"/>
      </rPr>
      <t>20190630.</t>
    </r>
    <r>
      <rPr>
        <sz val="10"/>
        <rFont val="Verdana"/>
        <family val="2"/>
      </rPr>
      <t xml:space="preserve">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16.307
# Registros notificados en auditorias preventivas igual a 657.266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463.088 registros más. 
El soporte de medición de la evidencia para la actual actividad se encuentra en Evidencia\II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Andrés Guillermo 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Sergio Luis Antonio 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 trimestre\Estratégico\11600-1-1-1-1\ William Andrés Páez.
Por lo tanto, para el presente seguimiento, se tenía definido un total de $36.720.000, de los cuales hasta el momento se han causado obligaciones por un valor de $36.720.000 dando un cumplimiento de 100.00 %.</t>
    </r>
  </si>
  <si>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 Milena 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 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 Suárez.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 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</si>
  <si>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r>
      <rPr>
        <b/>
        <sz val="10"/>
        <rFont val="Verdana"/>
        <family val="2"/>
      </rPr>
      <t>20190630.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1471 
# Requerimientos de aplicaciones misionales recibidos en términos de ANS igual a 1474 
Teniendo en cuenta que la meta anual se definió como 100% y por lo tanto la meta trimestral quedo en 25%, el comportamiento del indicador para este periodo de medición fue 24.94%.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 Milena 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 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 Suárez.
•	Manuel Peña. Quien tiene el contrato 0051 de 2019 y cuyo valor total es por $53.164.884 y valor mensual de $4.403.407. Cuya fecha de ingreso fue el 30/01/2019. Para el seguimiento actual se pagó un total de $ 8.713.133 y se liberó un total de $ 35.443.257 por terminación anticipada de contrato (ver: documentos soportes cesión acto 051 de 2019.pdf). La evidencia de los pagos realizados y de las cuentas de cobro se encuentran dentro de la ruta Evidencia\II trimestre\Estratégico\11600-1-1-2-1\ Manuel Peña.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$64.014.167 dando un cumplimiento de 25.40%. Ahora bien, cabe aclarar que teniendo en cuenta el Plan Anual de Adquisiciones, se retiraron rubros por valor de $364.000.000 y $277.671.089, por lo tanto, la meta anual de la presente actividad debe ser $ 366.247.140 y una meta trimestral por valor de $91.561.785. Tomando este valor el cumplimiento real corresponde a 69.91%.</t>
    </r>
  </si>
  <si>
    <t>En el segundo trimestre fueron efectuados 11 procesos de compensación del régimen contributivo de salud de acuerdo con el cronograma establecido para el trimestre, reconociendo a las EPS - EOC la UPC, el PyP y la provisión de incapacidades.
Con cargo a esta actividad se ejecutan los contratos de prestación de servicios No. 040 y 042_2019.</t>
  </si>
  <si>
    <t>Como soporte se presentan los documentos elaborados durante el segundo trimestre de 2019. Nota de política de la tecnología denominada Eculizumab. Una mirada al aseguramiento en salud de la población colombiana 2017.</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</si>
  <si>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Control de Riesgos, adicionalmente a Comunicaciones ADRES, para su publicación mensual en el link https://www.adres.gov.co/La-Entidad/Información-financiera/URA/Ejecución-presupuestal-URA, se anexa a la carpeta compartida por la OAPCR las ejecuciones presupuestales del I Trimestre de 2019.
</t>
  </si>
  <si>
    <t>Durante el 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Se anexa a la carpeta compartida por la OAPCR las ejecuciones presupuestales del II Trimestre de 2019, oficios remisorios de las EP al Ministerio de Hacienda y evidencia en Word pantallazo publicación de las Ejecuciones Presupuestales en la página de la ADRES.</t>
  </si>
  <si>
    <t xml:space="preserve">En el periodo se recibieron 2.047 Ordenes de Pago por parte del Grupo de Gestión de Contable, por un valor de $10.759.691.865.518,50 de las cuales de efectúa un total de Giros de 62.431 (cantidad evidenciada en el aplicativo ERP) por valor de $10.656.417.097.454,10, Se anexa a la carpeta compartida por la OAPCR, la relación de  pagos efectuados durante el II Trimestre de 2019._x000D_
_x000D_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</si>
  <si>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periodo,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 Trimestre de 2019 y evidencia en Word pantallazo publicación de los Estados Financieros en la página de la ADRES
Durante el 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</si>
  <si>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t># Propuestas aprobadas por el Min Salud</t>
  </si>
  <si>
    <t>Para este trimestre se elaboró un plan de trabajo para la implementación del SARLAFT revisado y aprobado por el Jefe de la Oficina de Planeación el 28 de febrero, este plan fue presentado en XXX así mismo se anexa propuesta de políticas, roles y responsabilidades asociadas al LA/FT y estas se remitieron mediante correo electrónico el día 29 de marzo de 2019   para revisión y comentarios por parte de los líderes de proceso.  se adjunta las evidencias soporte de esta acción en Teams.</t>
  </si>
  <si>
    <t>Para este trimestre se presento  y aprobó en Junta Directiva  política de administración de riesgos LA/FT y código de integridad.
asimismo, se cuenta con un avance del 50% del manual para la implementación de riesgos integrados, procedimientos, formatos y código de buen gobierno.</t>
  </si>
  <si>
    <t xml:space="preserve">De acuerdo con la reunión sostenida con la Oficina Asesora de Planeación  se acordó que el indicador quedará  así:  Para el II trimestre la organización, digitalización y transferencia del archivo documental de gestión correspondiente a la serie tutelas de las los meses de enero, febrero y marzo de 2018. El valor ejecutado corresponde al valor promedio mensual del contrato Interadministrativo N.088-2019 suscrito con Servicios Postales Nacionales 4-72 en el componente de archivo, se suben a la carpeta de evidencias los informes mensuales de  abril y mayo, junio esta pendiente finalizar tramite por un componente de envíos.. </t>
  </si>
  <si>
    <r>
      <t xml:space="preserve">En el primer trimestre de 2019, se presentó un incidente de trabajo laboral, el cual fue investigado en compañía de los integrantes del COPASST, jefe inmediato y grupo de SST. </t>
    </r>
    <r>
      <rPr>
        <b/>
        <i/>
        <sz val="10"/>
        <rFont val="Verdana"/>
        <family val="2"/>
      </rPr>
      <t xml:space="preserve">(Ver producto "11700-1-19-1 Investigación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color rgb="FFFF0000"/>
        <rFont val="Verdana"/>
        <family val="2"/>
      </rPr>
      <t xml:space="preserve">
</t>
    </r>
    <r>
      <rPr>
        <sz val="10"/>
        <rFont val="Verdana"/>
        <family val="2"/>
      </rPr>
      <t xml:space="preserve">Este producto permitió evidenciar la forma adecuada de atender, gestionar y registrar un incidente laboral. </t>
    </r>
  </si>
  <si>
    <t>Se incluyen los informes de supervisión de Marzo Abril, Mayo. El mes de junio no se ha recibido el informe del centro de contacto. El mes de marzo no se incluyó en el reporte del Primer trimestre pues no se había recibido cuenta de cobro por parte del Conalcenter. Para este trimestre se suman los pagos realizados de los meses de marzo, abril y mayo por un valor de $133.992.812. Por esta misma razón no se reporta junio. Se adjuntan los informes de supervisión de los meses de marzo, abril y mayo.</t>
  </si>
  <si>
    <t>Se socializa con todos los servidores públicos mediante correo electrónico y en los escritorios de los computadores  los siguientes temas: 1. Actualización Trámites y OPA, en donde se informa que el DAFP estableció que la consulta de la BDUA no es una OPA;2. Boletín PQRSD Tiempos de atención PQRSD (Tiempos especiales); 3.  Cartilla del DNP“Guía para responder a solicitudes de acceso a información pública”; 4. Deberes de las autoridades en la atención al público -Carta de Compromiso en la Atención al Ciudadano; 5.  Boletín Gestión y trámite de las PQRSD en la entidad, deben atender lo dispuesto en la Resolución 668 de 2018 " Se adjunta la evidencia en la carpeta del Plan de Acción; 6. Publicación en la página web “Mecanismos para presentar Quejas y Reclamos en relación con omisiones o acciones del sujeto obligado”.</t>
  </si>
  <si>
    <t xml:space="preserve">Para este período se programó una mesa de trabajo y adicionalmente se  realizaron acciones  a través de correos electrónicos y atención telefónica en los siguientes temas. Se adjuntan evidencias en la Carpeta del II trimestre.
</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</si>
  <si>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 Rodríguez.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</si>
  <si>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El pasado 25 de febrero de 2019, el Módulo tecnológico en el CRM como herramienta de medición de oportunidad de respuestas a PQRSD entró en producción. Este puede ser accedido directamente desde el enlace https://sac.adres.gov.co/ o a través del Enlace Formule su PQRSD en línea, el cual se encuentra en la página https://www.adres.gov.co/.</t>
  </si>
  <si>
    <r>
      <rPr>
        <b/>
        <sz val="10"/>
        <rFont val="Verdana"/>
        <family val="2"/>
      </rPr>
      <t>20190630</t>
    </r>
    <r>
      <rPr>
        <sz val="10"/>
        <rFont val="Verdana"/>
        <family val="2"/>
      </rPr>
      <t>. Con corte al primer semestre de 2019 se tiene un inventario de 413 activos, de los cuales 289 activos “ACTIVOS” y 124 EXCLUIDOS, de los cuales 13 corresponden a nuevos activos ingresados en la actual vigencia. En la ruta Evidencias Productos\II trimestre\Transversal\11600-2-14-1, se encuentra el archivo GSTE-F02 matriz Valoración Activos Información V20190531.xlsx, en el cual se encuentra la información del actual inventario. El ejercicio de identificación de activos se ha llevado a cabo siguiendo la guía “Metodología de clasificación y valoración de activos de información”, que al interior de la DGTIC se ha definido. Este documento de igual manera también ha sido referenciado dentro de la evidencian de la dirección.</t>
    </r>
  </si>
  <si>
    <t xml:space="preserve">Se realizó la revisión y actualización de la Política de Administración de Riesgos; en Comité Institucional de Coordinación de Control Interno, en sesión de fecha del 12 de junio de 2019, aprobó dicha Política en consideración a lo enunciado en la circular 06 del 31 de julio de 2018 de la Superintendencia de Salud donde se presentó para aprobación la actualización de los objetivos, el ámbito de aplicación, el nivel de aceptación del riesgo. Además, se dispuso que los riesgos residuales del proceso se encuentren máximo en la zona de riesgo MODERADA como “nivel de aceptación”, y en la medida en que la gestión de riesgo vaya avanzando en su madurez, se traslade a la zona baja.
Cabe aclarar, que para el riesgo de corrupción y de LA/FT no se admite aceptación del riesgo, siempre deben conducir a un tratamiento. La tolerancia es INACEPTABLE. (Acta de reunión No 3 y proyecto resolución).
</t>
  </si>
  <si>
    <t>Las políticas fueron presentadas en comité  institucional  de coordinación de control interno para retroalimentación a nivel directivo y posteriormente someter a probación en acuerdo de junta de acuerdo a lo establecido en la circular 06 de la Supersalud.</t>
  </si>
  <si>
    <t>esta actividad no  fue programa para ejecutar en este trimestre. Por lo tanto no tiene reporte</t>
  </si>
  <si>
    <t>Tomando como base la versión del PAA con corte al 03 de julio el cual tiene 161 líneas (adquisiciones planeadas) se han utilizado 113 de ellas con corte a 30 de junio, esto se soporta con copia del PAA descargado de la página de Colombia Compra Eficiente. 
En el periodo a reportar se suscribieron 30 contratos que se relacionan en el archivo cargado en las evidencias.
Adicionalmente se cargan como evidencias los correos electrónicos enviados desde la Dirección Administrativa y Financiera como seguimiento al cumplimiento de ejecución del PAA por parte de las diferentes áreas de la entidad y de igual forma las solicitudes de inclusión, modificación y/o eliminación de líneas en el PAA, presentadas por las áreas responsables.</t>
  </si>
  <si>
    <r>
      <t xml:space="preserve">La ADRES cuenta con una (1) sección de publicación de información habilitada en el sitio de transparencia de la página Web, la cual se ha ido organizando y complementando así:
* Se han publicado los procedimientos de los procesos que han sido actualizados y aprobados en el transcurso de este año, en la Subsección: Manuales Técnicos.
* Se incorporaron los links: </t>
    </r>
    <r>
      <rPr>
        <sz val="10"/>
        <color rgb="FF175099"/>
        <rFont val="Verdana"/>
        <family val="2"/>
      </rPr>
      <t>Participación en la formulación de planes, proyectos y programas</t>
    </r>
    <r>
      <rPr>
        <sz val="10"/>
        <color theme="4"/>
        <rFont val="Verdana"/>
        <family val="2"/>
      </rPr>
      <t xml:space="preserve">, </t>
    </r>
    <r>
      <rPr>
        <sz val="10"/>
        <color theme="1"/>
        <rFont val="Verdana"/>
        <family val="2"/>
      </rPr>
      <t xml:space="preserve">como espacio de participación ciudadana; y </t>
    </r>
    <r>
      <rPr>
        <sz val="10"/>
        <color rgb="FF175099"/>
        <rFont val="Verdana"/>
        <family val="2"/>
      </rPr>
      <t>Decisiones y/o políticas que afectan al público</t>
    </r>
    <r>
      <rPr>
        <sz val="10"/>
        <color theme="1"/>
        <rFont val="Verdana"/>
        <family val="2"/>
      </rPr>
      <t xml:space="preserve">, en la cual se publican los actos administrativos de interés, importancia y relevancia para los grupos de valor y de interés de la ADRES.
La evidencia de lo anterior se encuentra en la carpeta correspondiente, denominada con el código del producto de esta actividad, y corresponde al pantallazo de la sección de Transparencia de  la página Web y de la información de cada uno de los links mencionados. </t>
    </r>
  </si>
  <si>
    <t>#Paquetes de recobros y reclamaciones de rezago entregados para pago con interventoría certificada / # Paquetes de recobros y reclamaciones rezagados</t>
  </si>
  <si>
    <t>#Paquetes de recobros y reclamaciones 2019 entregados para pago con interventoría certificada / # Paquetes de recobros y reclamaciones 2019  con trámite de auditoría por realizar</t>
  </si>
  <si>
    <t># Actas debidamente firmadas / # sesiones del Comité de Conciliación</t>
  </si>
  <si>
    <t>Plan Plan de Trabajo Anual del Sistema de Seguridad y Salud en el Trabajo 
Plan Institucional de Capacitación</t>
  </si>
  <si>
    <t>CUMPIMIENTO TOTAL FÍSICO (Promedio)</t>
  </si>
  <si>
    <t>Mediante los memorandos identificados en el SGD con los números 26177, 27449 y 28602 se efectuaron las Ordenaciones del Gasto para el Giro Previo de Recobros de los meses de abril, mayo y junio de 2019 respectivamente. 
Adicionalmente, con los memorandos identificados en el SGD con los números 26280, 26415 y 28515, se efectuaron las Ordenaciones del Gasto para el Giro Previo (Ajustado) de Recobros de los meses de mayo y junio de 2018 y enero de 2019, respectivamente.</t>
  </si>
  <si>
    <t>En el segundo trimestre del año en curso se efectuaron los pagos de los paquetes 0418_1, GA091214EPS008_1, GT010116EPS008_03, GT010117EPS008_03, GT020216EPS008_03, GT020216EPS037_01, GT030316EPS008_03, GT030316EPS037_01, GT040416EPS008_03, GT050516EPS008_03, GT071116EPS008_1 y GT081216EPS008_1.
Los memorandos de las ordenaciones corresponden a los números identificados en el SGD con los radicados 27611 para el paquete 0418_1 y, 26843 y 251879 para los giros por desistimientos.</t>
  </si>
  <si>
    <r>
      <t xml:space="preserve">El siguiente es el resultado cualitativo logrado en segundo trimestre, de conformidad con lo reportado por cada una de las dependencias así:
</t>
    </r>
    <r>
      <rPr>
        <b/>
        <sz val="10"/>
        <color theme="1"/>
        <rFont val="Verdana"/>
        <family val="2"/>
      </rPr>
      <t xml:space="preserve">Dirección General - Comunicaciones.
</t>
    </r>
    <r>
      <rPr>
        <sz val="10"/>
        <color theme="1"/>
        <rFont val="Verdana"/>
        <family val="2"/>
      </rPr>
      <t xml:space="preserve">Se destaca la labor de la Dirección General- Comunicaciones en realización de actividades de relacionamiento y rendición de cuentas con actores del sector salud partes interesadas, el 28 de mayo de 2019 se llevó a cabo un taller con integrantes de la Asociación de Laboratorios Farmacéuticos de Investigación y Desarrollo -AFIDRO- con el fin de socializar cómo se da el flujo de los recursos del sistema general de seguridad social en salud de Colombia, aportando de esta manera al objetivo estratégico “Garantizar la adecuación institucional mediante actividades transversales que complementen y sustenten el desempeño de los procesos misionales y estratégicos, así como el seguimiento continuo al cumplimiento de los objetivos de la Entidad”.
Las actividades relacionadas con la jornada participativa abierta de rendición de cuentas se programó para el tercer trimestre, cuyo avance se podrá observar en el próximo seguimiento al plan.
</t>
    </r>
    <r>
      <rPr>
        <b/>
        <sz val="10"/>
        <color theme="1"/>
        <rFont val="Verdana"/>
        <family val="2"/>
      </rPr>
      <t xml:space="preserve">Oficina de Control Interno.
</t>
    </r>
    <r>
      <rPr>
        <sz val="10"/>
        <color theme="1"/>
        <rFont val="Verdana"/>
        <family val="2"/>
      </rPr>
      <t xml:space="preserve">Se destaca la labor de la OCI en los resultados satisfactorios de los indicadores de gestión de la totalidad de las actividades de apoyo transversal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al cual están asociadas las actividades del plan de acción de esa oficina.
</t>
    </r>
    <r>
      <rPr>
        <b/>
        <sz val="10"/>
        <color theme="1"/>
        <rFont val="Verdana"/>
        <family val="2"/>
      </rPr>
      <t>Dirección de Gestión de Tecnologías de la Información y la Comunicación.</t>
    </r>
    <r>
      <rPr>
        <sz val="10"/>
        <color theme="1"/>
        <rFont val="Verdana"/>
        <family val="2"/>
      </rPr>
      <t xml:space="preserve">
Se destaca la labor de la DGTIC, en los resultados satisfactorios de los indicadores de gestión de la mayoría de las actividades de apoyo transversal y la totalidad de actividades de proyectos estratégicos de su plan de acción, aportando de manera importante en los objetivos estratégicos “Garantizar la adecuación institucional mediante actividades transversales que complementen y sustenten el desempeño de los procesos misionales y estratégicos, así como el seguimiento continuo al cumplimiento de los objetivos de la Entidad” y “Mejoramiento de la infraestructura tecnológica para garantizar la operación de los procesos misionales”, al cual están asociadas las actividades del plan de acción de esa Dirección.
No obstante, la medición del indicador no favoreció la actividad de apoyo transversal “Actualizar de manera colaborativa la Política del Sistema Integrado de Administración de Riesgos de la ADRES”, toda vez que la política fue elaborada, pero no se ha publicado en la página Web por encontrarse en revisión la resolución por la cual se adoptará y adicionalmente, debe ser  puesta en conocimiento de la Junta Directiva de la ADRES.
Es recomendable revisar las posibilidades de mejora en la ejecución de los recursos asignados al producto: "Apoyo en soporte, desarrollo, mantenimiento e integración de aplicativos misionales".
</t>
    </r>
    <r>
      <rPr>
        <b/>
        <sz val="10"/>
        <color theme="1"/>
        <rFont val="Verdana"/>
        <family val="2"/>
      </rPr>
      <t>Oficina Asesora Jurídica.</t>
    </r>
    <r>
      <rPr>
        <sz val="10"/>
        <color theme="1"/>
        <rFont val="Verdana"/>
        <family val="2"/>
      </rPr>
      <t xml:space="preserve">
Se destaca la labor de la OAJ en realización de actividades de apoyo misional, aportando de manera significativa en el objetivo estratégico “Proteger, gestionar y defender los recursos del SGSSS”.
Adicionalmente se destaca, dentro del apoyo transversal, el cumplimiento a cabalidad de actividades como: “Ejercer la representación judicial del recurso extraordinario de casación  y procesos cuya relevancia y asuntos que requieran de su intervención para la adecuada defensa de los intereses de la Entidad, entre las que se encuentran las acciones de repetición”; “Realizar vigilancia judicial y radicación de documentos en cada uno de los procesos que cursan en los despachos judiciales en contra de ADRES”; “Apoyar en la administración de la plataforma Ekogui, y demás actuaciones necesarias para gestionar y lograr el pago de las sentencias condenatorias y conciliaciones”; “Apoyar en las actividades relacionadas con el ejercicio de las funciones de la Secretaría Técnica  del Comité de Conciliación;  y en las actividades propias de dicho organismo en el Ekogui.”; “Apoyo a las actividades administrativas y operativas  requeridas por el Grupo de Representación Judicial”; “Tramitar las acciones constitucionales y demás asuntos derivados de éstas, que se instauren contra la Administradora de los Recursos del Sistema General de Seguridad Social en Salud - ADRES o contra el entonces FOSYGA”. Aportando de manera importante en los objetivos estratégicos “Proteger, gestionar y defender los recursos del SGSSS”.
A pesar de que no se alcanzó la meta para la actividad “Adelantar acercamientos con altos organismos de rama judicial con el objeto de reducir el volumen de tutelas que recibe la entidad”, la OAJ proyectó un oficio dirigido al Consejo Superior de la Judicatura con el fin de reducir la cantidad de tutelas que se presentan a ADRES por prestaciones de salud, se espera dar trámite a este documento durante el siguiente trimestre. 
</t>
    </r>
    <r>
      <rPr>
        <b/>
        <sz val="10"/>
        <color theme="1"/>
        <rFont val="Verdana"/>
        <family val="2"/>
      </rPr>
      <t xml:space="preserve">Dirección Administrativa y Financiera.
</t>
    </r>
    <r>
      <rPr>
        <sz val="10"/>
        <color theme="1"/>
        <rFont val="Verdana"/>
        <family val="2"/>
      </rPr>
      <t xml:space="preserve">Se destaca la labor de la DAF en realización de actividades de apoyo transversal en las cuales cumplió o avanzó sustancialmente, en los resultados satisfactorios de los indicadores de gestión de la mayoría de las actividades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Los resultados de las metas previstas para los siguientes productos en el segundo trimestre, reflejan la necesidad de establecer y documentar acciones correctivas para su logro en los siguientes periodos:
• Actualización de los requisitos legales del Sistema de Seguridad y Salud en el Trabajo
• Capacitación en Buen Gobierno
• Capacitación de Sistema de Seguridad Social
• Participación en ferias de servicio al ciudadano
En el segundo trimestre de 2019 se hizo gestión de búsqueda y solicitud a la ESAP y Función Pública de las anteriores capacitaciones, por lo que se continuará gestionando para obtener estas capacitaciones con Entidades Externas a costo "Cero" conforme disponibilidad de terceros. 
Es recomendable revisar las oportunidades de mejora en la ejecución de los recursos asignados los productos relacionados con el Plan Institucional de Capacitación, Plan de Bienestar e Incentivos y el Plan de Seguridad y Salud en el Trabajo.
</t>
    </r>
    <r>
      <rPr>
        <b/>
        <sz val="10"/>
        <color theme="1"/>
        <rFont val="Verdana"/>
        <family val="2"/>
      </rPr>
      <t>Dirección de Liquidaciones y Garantías.</t>
    </r>
    <r>
      <rPr>
        <sz val="10"/>
        <color theme="1"/>
        <rFont val="Verdana"/>
        <family val="2"/>
      </rPr>
      <t xml:space="preserve">
Se destaca la labor de la DLG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También se destaca por cumplir con la totalidad de actividades de proyectos estratégicos, con resultados satisfactorios de los indicadores de gestión, aportando de manera significativa al objetivo estratégico “Optimización de la liquidación, reconocimiento, giro y reintegro de la UPC, de las prestaciones económicas (PE), de la devolución de aportes y de la conciliación bancaria de cotizaciones” y “Gestión, análisis de información y consolidación de la transparencia”.
Es pertinente revisar las oportunidades de mejora en la ejecución de los recursos asignados a los siguientes productos:
• Controles de los procesos de liquidación y reconocimiento de UPC y de prestaciones económicas verificados y ajustados
• Procesos optimizados mediante desarrollos o ajustes tecnológicos
• Proceso de compensación
</t>
    </r>
    <r>
      <rPr>
        <b/>
        <sz val="10"/>
        <color theme="1"/>
        <rFont val="Verdana"/>
        <family val="2"/>
      </rPr>
      <t>Dirección de Otras Prestaciones.</t>
    </r>
    <r>
      <rPr>
        <sz val="10"/>
        <color theme="1"/>
        <rFont val="Verdana"/>
        <family val="2"/>
      </rPr>
      <t xml:space="preserve">
Se destaca la labor de la DOP en realización de actividades de proyectos estratégicos en las cuales cumplió, con resultados satisfactorios de los indicadores de gestión en las actividades de su plan de acción, aportando en el objetivo estratégico “Lograr calidad y oportunidad en los procesos de reconocimiento del aseguramiento”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Oficina Asesora de Planeación y Control de Riesgos.
</t>
    </r>
    <r>
      <rPr>
        <sz val="10"/>
        <color theme="1"/>
        <rFont val="Verdana"/>
        <family val="2"/>
      </rPr>
      <t xml:space="preserve">Se destaca la labor de la OAPCR en realización de actividades de apoyo transversal en las cuales se cumplió con resultados satisfactorios de los indicadores de gestión, aportando significativamente al objetivo estratégico “Garantizar la adecuación institucional mediante actividades transversales que complementen y sustenten el desempeño de los procesos misionales y estratégicos, así como el seguimiento continuo al cumplimiento de los objetivos de la Entidad”.
La actividad de "Publicación y Socialización de la versión actualizada de la Política del Sistema Integrado de Administración de Riesgos de la ADRES", programada para el periodo no presenta avance debido que esta política debe ser aprobada por la Junta Directiva para su posterior publicación.  Se incluyó este aspecto en la junta programada para el mes de agosto. 
</t>
    </r>
    <r>
      <rPr>
        <b/>
        <sz val="10"/>
        <color theme="1"/>
        <rFont val="Verdana"/>
        <family val="2"/>
      </rPr>
      <t>Dirección de Gestión de Recursos Financieros de la Salud.</t>
    </r>
    <r>
      <rPr>
        <sz val="10"/>
        <color theme="1"/>
        <rFont val="Verdana"/>
        <family val="2"/>
      </rPr>
      <t xml:space="preserve">
De acuerdo con los resultados reportados se destaca la labor de la DGRFS, en los resultados satisfactorios de los indicadores de gestión de la totalidad de las actividades de apoyo misional de su plan de acción, aportando de manera importante en el objetivo estratégico “Optimizar los procesos de recaudo, administración y pago de los recursos que se canalizan a través de la Entidad”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CONCLUSIONES.
</t>
    </r>
    <r>
      <rPr>
        <sz val="10"/>
        <color theme="1"/>
        <rFont val="Verdana"/>
        <family val="2"/>
      </rPr>
      <t>1. El ejercicio de formulación de acciones para la vigencia y su seguimiento periódico ha permitido incentivar en las diferentes áreas de la entidad la cultura del autocontrol, la autoevaluación y el seguimiento sobre sus procesos y actividades.
2. El éxito para que las Oficinas y las dependencias técnicas logren cumplir al 100% las metas que definieron al inicio de la vigencia radican en la formulación adecuada de sus indicadores, puesto que los resultados logrados por medio de las mediciones mejoraran la planeación y permiten tomar decisiones con mayor certeza y confiabilidad.
3. La Oficina Asesora de Planeación y Control de Riesgos, siempre está atenta a solucionar cualquier inquietud y/o proporcionar el apoyo que requieren las diferentes dependencias de la ADRES en el establecimiento y documentación de los planes de mejoramiento o la redefinición de metas que consideren pertinentes.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</si>
</sst>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8" formatCode="&quot;$&quot;\ #,##0.00;[Red]\-&quot;$&quot;\ #,##0.0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 numFmtId="175" formatCode="[$$-240A]\ #,##0.00"/>
    <numFmt numFmtId="176" formatCode="0.000000%"/>
  </numFmts>
  <fonts count="9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sz val="10"/>
      <name val="Verdana"/>
      <family val="2"/>
    </font>
    <font>
      <b/>
      <i/>
      <sz val="10"/>
      <name val="Verdana"/>
      <family val="2"/>
    </font>
    <font>
      <i/>
      <sz val="10"/>
      <name val="Verdana"/>
      <family val="2"/>
    </font>
    <font>
      <sz val="10"/>
      <color rgb="FFFF0000"/>
      <name val="Verdana"/>
      <family val="2"/>
    </font>
    <font>
      <i/>
      <sz val="9"/>
      <color theme="1"/>
      <name val="Verdana"/>
      <family val="2"/>
    </font>
    <font>
      <sz val="11"/>
      <color rgb="FFFF0000"/>
      <name val="Calibri"/>
      <family val="2"/>
      <scheme val="minor"/>
    </font>
    <font>
      <sz val="10"/>
      <name val="Verdana"/>
      <family val="2"/>
    </font>
    <font>
      <sz val="12"/>
      <color theme="1"/>
      <name val="Calibri"/>
      <family val="2"/>
      <scheme val="minor"/>
    </font>
    <font>
      <sz val="10"/>
      <color rgb="FF000000"/>
      <name val="Verdana"/>
      <family val="2"/>
    </font>
    <font>
      <sz val="10"/>
      <color theme="4"/>
      <name val="Verdana"/>
      <family val="2"/>
    </font>
    <font>
      <sz val="10"/>
      <color rgb="FF175099"/>
      <name val="Verdana"/>
      <family val="2"/>
    </font>
  </fonts>
  <fills count="2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s>
  <cellStyleXfs count="37">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cellStyleXfs>
  <cellXfs count="1426">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9" fontId="28" fillId="0" borderId="1" xfId="1" applyNumberFormat="1" applyFont="1" applyFill="1" applyBorder="1" applyAlignment="1">
      <alignment vertical="center"/>
    </xf>
    <xf numFmtId="0" fontId="28" fillId="0" borderId="1" xfId="0" applyFont="1" applyFill="1" applyBorder="1"/>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9" fontId="20" fillId="0" borderId="1" xfId="1" applyFont="1" applyFill="1" applyBorder="1" applyAlignment="1">
      <alignment horizontal="justify" vertical="center" wrapText="1"/>
    </xf>
    <xf numFmtId="42" fontId="20" fillId="0" borderId="1" xfId="1" applyNumberFormat="1" applyFont="1" applyFill="1" applyBorder="1" applyAlignment="1">
      <alignment horizontal="right" vertical="center"/>
    </xf>
    <xf numFmtId="0" fontId="20" fillId="0" borderId="1" xfId="0" applyFont="1" applyFill="1" applyBorder="1" applyAlignment="1">
      <alignment horizontal="justify" vertical="center"/>
    </xf>
    <xf numFmtId="0" fontId="20" fillId="0" borderId="1" xfId="0" applyFont="1" applyFill="1" applyBorder="1"/>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1" fontId="28" fillId="0" borderId="1" xfId="1" applyNumberFormat="1" applyFont="1" applyFill="1" applyBorder="1" applyAlignment="1">
      <alignment horizontal="right" vertical="center" wrapText="1"/>
    </xf>
    <xf numFmtId="0" fontId="20" fillId="0" borderId="1" xfId="0" applyFont="1" applyFill="1" applyBorder="1" applyAlignment="1">
      <alignment vertical="center" wrapText="1"/>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9" fontId="20" fillId="0" borderId="1" xfId="1" applyFont="1" applyFill="1" applyBorder="1" applyAlignment="1">
      <alignment horizontal="right" vertical="center"/>
    </xf>
    <xf numFmtId="1" fontId="20" fillId="0" borderId="1" xfId="1" applyNumberFormat="1" applyFont="1" applyFill="1" applyBorder="1" applyAlignment="1">
      <alignment horizontal="right" vertical="center"/>
    </xf>
    <xf numFmtId="0" fontId="28" fillId="0" borderId="1" xfId="0" applyFont="1" applyFill="1" applyBorder="1" applyAlignment="1">
      <alignment horizontal="center" vertical="center" wrapText="1"/>
    </xf>
    <xf numFmtId="0" fontId="28" fillId="0" borderId="1" xfId="0" applyFont="1" applyFill="1" applyBorder="1" applyAlignment="1">
      <alignment horizontal="right" vertical="center" wrapText="1"/>
    </xf>
    <xf numFmtId="0" fontId="20" fillId="0" borderId="1" xfId="0" applyFont="1" applyFill="1" applyBorder="1" applyAlignment="1">
      <alignment horizontal="right" vertical="center" wrapText="1"/>
    </xf>
    <xf numFmtId="42" fontId="28" fillId="0" borderId="1" xfId="5" applyFont="1" applyFill="1" applyBorder="1" applyAlignment="1">
      <alignment horizontal="right" wrapText="1"/>
    </xf>
    <xf numFmtId="166" fontId="28" fillId="0" borderId="1" xfId="1" applyNumberFormat="1" applyFont="1" applyFill="1" applyBorder="1" applyAlignment="1">
      <alignment horizontal="right" vertical="center"/>
    </xf>
    <xf numFmtId="0" fontId="28" fillId="0" borderId="1" xfId="0" applyFont="1" applyFill="1" applyBorder="1" applyAlignment="1">
      <alignment horizontal="right"/>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NumberFormat="1" applyFont="1" applyFill="1" applyBorder="1" applyAlignment="1">
      <alignment horizontal="right" vertical="center"/>
    </xf>
    <xf numFmtId="0" fontId="20" fillId="0" borderId="1" xfId="1" applyNumberFormat="1" applyFont="1" applyFill="1" applyBorder="1" applyAlignment="1">
      <alignment horizontal="righ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1" fontId="20" fillId="0" borderId="1" xfId="3" applyFont="1" applyFill="1" applyBorder="1" applyAlignment="1">
      <alignment horizontal="right" vertical="center"/>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42" fontId="20" fillId="0" borderId="1" xfId="5" applyFont="1" applyFill="1" applyBorder="1" applyAlignment="1">
      <alignment horizontal="right" vertical="center" wrapText="1"/>
    </xf>
    <xf numFmtId="0" fontId="5" fillId="0" borderId="0" xfId="0" applyFont="1" applyAlignment="1">
      <alignment horizontal="left"/>
    </xf>
    <xf numFmtId="0" fontId="41" fillId="0" borderId="0" xfId="0" applyFont="1" applyFill="1"/>
    <xf numFmtId="0" fontId="5" fillId="0" borderId="0" xfId="0" applyFont="1" applyAlignment="1">
      <alignment horizontal="left"/>
    </xf>
    <xf numFmtId="0" fontId="28" fillId="0" borderId="18" xfId="0" applyFont="1" applyFill="1" applyBorder="1" applyAlignment="1">
      <alignment horizontal="justify" vertical="center"/>
    </xf>
    <xf numFmtId="0" fontId="20" fillId="0" borderId="1" xfId="0" applyFont="1" applyFill="1" applyBorder="1" applyAlignment="1">
      <alignment horizontal="center" vertical="center" wrapText="1"/>
    </xf>
    <xf numFmtId="0" fontId="2" fillId="0" borderId="0" xfId="0" applyFont="1" applyAlignment="1">
      <alignment horizontal="center"/>
    </xf>
    <xf numFmtId="167" fontId="20" fillId="0" borderId="1" xfId="3" applyNumberFormat="1" applyFont="1" applyFill="1" applyBorder="1" applyAlignment="1">
      <alignment horizontal="right" vertical="center"/>
    </xf>
    <xf numFmtId="0" fontId="37" fillId="17" borderId="69"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1" fontId="44" fillId="0" borderId="0" xfId="0" applyNumberFormat="1"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 fontId="44" fillId="0" borderId="0" xfId="0" applyNumberFormat="1"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8" fillId="13" borderId="67" xfId="1" applyFont="1" applyFill="1" applyBorder="1" applyAlignment="1">
      <alignment horizontal="right" vertical="center"/>
    </xf>
    <xf numFmtId="9" fontId="58" fillId="13" borderId="2" xfId="1" applyFont="1" applyFill="1" applyBorder="1" applyAlignment="1">
      <alignment horizontal="right" vertical="center"/>
    </xf>
    <xf numFmtId="0" fontId="45" fillId="0" borderId="0" xfId="0" applyFont="1" applyFill="1" applyBorder="1" applyAlignment="1">
      <alignment horizontal="right"/>
    </xf>
    <xf numFmtId="9" fontId="59" fillId="13" borderId="7" xfId="1" applyFont="1" applyFill="1" applyBorder="1" applyAlignment="1">
      <alignment horizontal="right" vertical="center"/>
    </xf>
    <xf numFmtId="0" fontId="60" fillId="0" borderId="8" xfId="0" applyFont="1" applyBorder="1" applyAlignment="1">
      <alignment horizontal="justify" vertical="center" wrapText="1"/>
    </xf>
    <xf numFmtId="9" fontId="58" fillId="18" borderId="8" xfId="1" applyFont="1" applyFill="1" applyBorder="1" applyAlignment="1">
      <alignment horizontal="right" vertical="center"/>
    </xf>
    <xf numFmtId="9" fontId="58" fillId="18" borderId="54" xfId="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7" xfId="1" applyNumberFormat="1" applyFont="1" applyFill="1" applyBorder="1" applyAlignment="1">
      <alignment horizontal="right" vertical="center"/>
    </xf>
    <xf numFmtId="0" fontId="60"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0"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1"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1" fontId="52" fillId="13" borderId="0" xfId="1" applyNumberFormat="1" applyFont="1" applyFill="1" applyBorder="1" applyAlignment="1">
      <alignment horizontal="center" vertical="center"/>
    </xf>
    <xf numFmtId="0" fontId="61"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8" fillId="13" borderId="1" xfId="1" applyFont="1" applyFill="1" applyBorder="1" applyAlignment="1">
      <alignment horizontal="right" vertical="center"/>
    </xf>
    <xf numFmtId="9" fontId="58"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8" fillId="13" borderId="65" xfId="1" applyFont="1" applyFill="1" applyBorder="1" applyAlignment="1">
      <alignment horizontal="right" vertical="center"/>
    </xf>
    <xf numFmtId="9" fontId="58" fillId="13" borderId="55" xfId="1" applyFont="1" applyFill="1" applyBorder="1" applyAlignment="1">
      <alignment horizontal="right" vertical="center"/>
    </xf>
    <xf numFmtId="9" fontId="59" fillId="13" borderId="5" xfId="1" applyFont="1" applyFill="1" applyBorder="1" applyAlignment="1">
      <alignment horizontal="right" vertical="center"/>
    </xf>
    <xf numFmtId="0" fontId="44" fillId="0" borderId="0" xfId="0" applyFont="1" applyAlignment="1">
      <alignment horizontal="center" vertical="center" wrapText="1"/>
    </xf>
    <xf numFmtId="49" fontId="64" fillId="12" borderId="32" xfId="0" applyNumberFormat="1"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1" fontId="44" fillId="0" borderId="0" xfId="0" applyNumberFormat="1" applyFont="1" applyAlignment="1">
      <alignment horizontal="center" vertical="center" wrapText="1"/>
    </xf>
    <xf numFmtId="49" fontId="64" fillId="12" borderId="0" xfId="0" applyNumberFormat="1" applyFont="1" applyFill="1" applyBorder="1" applyAlignment="1">
      <alignment horizontal="center" vertical="center" wrapText="1"/>
    </xf>
    <xf numFmtId="49" fontId="64" fillId="16" borderId="13" xfId="0" applyNumberFormat="1" applyFont="1" applyFill="1" applyBorder="1" applyAlignment="1">
      <alignment horizontal="center" vertical="center" wrapText="1"/>
    </xf>
    <xf numFmtId="3" fontId="66" fillId="0" borderId="0"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4" fillId="16" borderId="21" xfId="0" applyNumberFormat="1" applyFont="1" applyFill="1" applyBorder="1" applyAlignment="1">
      <alignment horizontal="center" vertical="center" wrapText="1"/>
    </xf>
    <xf numFmtId="3" fontId="64"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59" fillId="0" borderId="0" xfId="0" applyFont="1" applyBorder="1" applyAlignment="1"/>
    <xf numFmtId="0" fontId="70"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7"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1" fillId="0" borderId="0" xfId="0" applyFont="1" applyAlignment="1">
      <alignment horizontal="center" vertical="center"/>
    </xf>
    <xf numFmtId="1" fontId="12" fillId="0" borderId="0" xfId="0" applyNumberFormat="1" applyFont="1"/>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4"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8"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4"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4" fillId="16" borderId="71" xfId="0" applyNumberFormat="1" applyFont="1" applyFill="1" applyBorder="1" applyAlignment="1">
      <alignment horizontal="center" vertical="center" wrapText="1"/>
    </xf>
    <xf numFmtId="9" fontId="58" fillId="18" borderId="55" xfId="1" applyFont="1" applyFill="1" applyBorder="1" applyAlignment="1">
      <alignment horizontal="right" vertical="center"/>
    </xf>
    <xf numFmtId="9" fontId="58"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8" fillId="18" borderId="16"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60"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9" fillId="13" borderId="37"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2"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0"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69"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69"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3" fillId="13" borderId="52" xfId="1" applyFont="1" applyFill="1" applyBorder="1" applyAlignment="1">
      <alignment horizontal="center" vertical="center"/>
    </xf>
    <xf numFmtId="9" fontId="71" fillId="13" borderId="60" xfId="1" applyFont="1" applyFill="1" applyBorder="1" applyAlignment="1">
      <alignment horizontal="center" vertical="center"/>
    </xf>
    <xf numFmtId="9" fontId="71" fillId="13" borderId="24" xfId="1" applyFont="1" applyFill="1" applyBorder="1" applyAlignment="1">
      <alignment horizontal="center" vertical="center"/>
    </xf>
    <xf numFmtId="9" fontId="71" fillId="13" borderId="6" xfId="1" applyFont="1" applyFill="1" applyBorder="1" applyAlignment="1">
      <alignment horizontal="center" vertical="center"/>
    </xf>
    <xf numFmtId="9" fontId="73" fillId="13" borderId="5" xfId="1" applyNumberFormat="1" applyFont="1" applyFill="1" applyBorder="1" applyAlignment="1">
      <alignment horizontal="center" vertical="center"/>
    </xf>
    <xf numFmtId="9" fontId="71" fillId="13" borderId="5" xfId="1" applyNumberFormat="1" applyFont="1" applyFill="1" applyBorder="1" applyAlignment="1">
      <alignment horizontal="center" vertical="center"/>
    </xf>
    <xf numFmtId="9" fontId="71" fillId="13" borderId="24" xfId="1" applyNumberFormat="1" applyFont="1" applyFill="1" applyBorder="1" applyAlignment="1">
      <alignment horizontal="center" vertical="center"/>
    </xf>
    <xf numFmtId="9" fontId="71" fillId="13" borderId="6" xfId="1" applyNumberFormat="1" applyFont="1" applyFill="1" applyBorder="1" applyAlignment="1">
      <alignment horizontal="center" vertical="center"/>
    </xf>
    <xf numFmtId="9" fontId="74" fillId="13" borderId="52" xfId="1" applyFont="1" applyFill="1" applyBorder="1" applyAlignment="1">
      <alignment horizontal="center" vertical="center"/>
    </xf>
    <xf numFmtId="9" fontId="73" fillId="13" borderId="62" xfId="1" applyFont="1" applyFill="1" applyBorder="1" applyAlignment="1">
      <alignment horizontal="center" vertical="center"/>
    </xf>
    <xf numFmtId="9" fontId="71" fillId="13" borderId="55" xfId="1" applyNumberFormat="1" applyFont="1" applyFill="1" applyBorder="1" applyAlignment="1">
      <alignment horizontal="center" vertical="center"/>
    </xf>
    <xf numFmtId="0" fontId="40" fillId="0" borderId="0" xfId="0" applyFont="1" applyAlignment="1">
      <alignment horizontal="center"/>
    </xf>
    <xf numFmtId="9" fontId="71" fillId="13" borderId="5" xfId="1" applyFont="1" applyFill="1" applyBorder="1" applyAlignment="1">
      <alignment horizontal="center" vertical="center"/>
    </xf>
    <xf numFmtId="9" fontId="74"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3" fillId="13" borderId="48" xfId="1" applyFont="1" applyFill="1" applyBorder="1" applyAlignment="1">
      <alignment horizontal="center" vertical="center"/>
    </xf>
    <xf numFmtId="9" fontId="71" fillId="13" borderId="39" xfId="1" applyFont="1" applyFill="1" applyBorder="1" applyAlignment="1">
      <alignment horizontal="center" vertical="center"/>
    </xf>
    <xf numFmtId="9" fontId="71" fillId="13" borderId="1" xfId="1" applyFont="1" applyFill="1" applyBorder="1" applyAlignment="1">
      <alignment horizontal="center" vertical="center"/>
    </xf>
    <xf numFmtId="9" fontId="71" fillId="13" borderId="8" xfId="1" applyFont="1" applyFill="1" applyBorder="1" applyAlignment="1">
      <alignment horizontal="center" vertical="center"/>
    </xf>
    <xf numFmtId="9" fontId="73" fillId="13" borderId="37" xfId="1" applyNumberFormat="1" applyFont="1" applyFill="1" applyBorder="1" applyAlignment="1">
      <alignment horizontal="center" vertical="center"/>
    </xf>
    <xf numFmtId="9" fontId="71" fillId="13" borderId="7" xfId="1" applyNumberFormat="1" applyFont="1" applyFill="1" applyBorder="1" applyAlignment="1">
      <alignment horizontal="center" vertical="center"/>
    </xf>
    <xf numFmtId="9" fontId="71" fillId="13" borderId="1" xfId="1" applyNumberFormat="1" applyFont="1" applyFill="1" applyBorder="1" applyAlignment="1">
      <alignment horizontal="center" vertical="center"/>
    </xf>
    <xf numFmtId="9" fontId="71" fillId="13" borderId="8" xfId="1" applyNumberFormat="1" applyFont="1" applyFill="1" applyBorder="1" applyAlignment="1">
      <alignment horizontal="center" vertical="center"/>
    </xf>
    <xf numFmtId="9" fontId="74" fillId="13" borderId="48" xfId="1" applyNumberFormat="1" applyFont="1" applyFill="1" applyBorder="1" applyAlignment="1">
      <alignment horizontal="center" vertical="center"/>
    </xf>
    <xf numFmtId="9" fontId="73" fillId="13" borderId="46" xfId="1" applyFont="1" applyFill="1" applyBorder="1" applyAlignment="1">
      <alignment horizontal="center" vertical="center"/>
    </xf>
    <xf numFmtId="9" fontId="71" fillId="13" borderId="54" xfId="1" applyNumberFormat="1" applyFont="1" applyFill="1" applyBorder="1" applyAlignment="1">
      <alignment horizontal="center" vertical="center"/>
    </xf>
    <xf numFmtId="9" fontId="71" fillId="13" borderId="7" xfId="1" applyFont="1" applyFill="1" applyBorder="1" applyAlignment="1">
      <alignment horizontal="center" vertical="center"/>
    </xf>
    <xf numFmtId="9" fontId="74" fillId="0" borderId="48" xfId="1" applyNumberFormat="1" applyFont="1" applyFill="1" applyBorder="1" applyAlignment="1">
      <alignment horizontal="center" vertical="center"/>
    </xf>
    <xf numFmtId="0" fontId="40" fillId="0" borderId="49" xfId="0" applyFont="1" applyBorder="1" applyAlignment="1">
      <alignment horizontal="justify" vertical="center" wrapText="1"/>
    </xf>
    <xf numFmtId="9" fontId="73" fillId="13" borderId="49" xfId="1" applyFont="1" applyFill="1" applyBorder="1" applyAlignment="1">
      <alignment horizontal="center" vertical="center"/>
    </xf>
    <xf numFmtId="9" fontId="71" fillId="13" borderId="61" xfId="1" applyFont="1" applyFill="1" applyBorder="1" applyAlignment="1">
      <alignment horizontal="center" vertical="center"/>
    </xf>
    <xf numFmtId="9" fontId="71" fillId="13" borderId="25" xfId="1" applyFont="1" applyFill="1" applyBorder="1" applyAlignment="1">
      <alignment horizontal="center" vertical="center"/>
    </xf>
    <xf numFmtId="9" fontId="71" fillId="13" borderId="10" xfId="1" applyFont="1" applyFill="1" applyBorder="1" applyAlignment="1">
      <alignment horizontal="center" vertical="center"/>
    </xf>
    <xf numFmtId="9" fontId="73" fillId="13" borderId="15" xfId="1" applyFont="1" applyFill="1" applyBorder="1" applyAlignment="1">
      <alignment horizontal="center" vertical="center"/>
    </xf>
    <xf numFmtId="9" fontId="71" fillId="13" borderId="9" xfId="1" applyNumberFormat="1" applyFont="1" applyFill="1" applyBorder="1" applyAlignment="1">
      <alignment horizontal="center" vertical="center"/>
    </xf>
    <xf numFmtId="9" fontId="71" fillId="13" borderId="25" xfId="1" applyNumberFormat="1" applyFont="1" applyFill="1" applyBorder="1" applyAlignment="1">
      <alignment horizontal="center" vertical="center"/>
    </xf>
    <xf numFmtId="9" fontId="71" fillId="13" borderId="10" xfId="1" applyNumberFormat="1" applyFont="1" applyFill="1" applyBorder="1" applyAlignment="1">
      <alignment horizontal="center" vertical="center"/>
    </xf>
    <xf numFmtId="9" fontId="74" fillId="13" borderId="49" xfId="1" applyNumberFormat="1" applyFont="1" applyFill="1" applyBorder="1" applyAlignment="1">
      <alignment horizontal="center" vertical="center"/>
    </xf>
    <xf numFmtId="9" fontId="73" fillId="13" borderId="63" xfId="1" applyFont="1" applyFill="1" applyBorder="1" applyAlignment="1">
      <alignment horizontal="center" vertical="center"/>
    </xf>
    <xf numFmtId="9" fontId="71" fillId="13" borderId="56" xfId="1" applyNumberFormat="1" applyFont="1" applyFill="1" applyBorder="1" applyAlignment="1">
      <alignment horizontal="center" vertical="center"/>
    </xf>
    <xf numFmtId="9" fontId="71" fillId="13" borderId="9" xfId="1" applyFont="1" applyFill="1" applyBorder="1" applyAlignment="1">
      <alignment horizontal="center" vertical="center"/>
    </xf>
    <xf numFmtId="9" fontId="74" fillId="0" borderId="49" xfId="1" applyNumberFormat="1" applyFont="1" applyFill="1" applyBorder="1" applyAlignment="1">
      <alignment horizontal="center" vertical="center"/>
    </xf>
    <xf numFmtId="0" fontId="40" fillId="0" borderId="23" xfId="0" applyFont="1" applyBorder="1" applyAlignment="1">
      <alignment horizontal="justify" vertical="center" wrapText="1"/>
    </xf>
    <xf numFmtId="0" fontId="75" fillId="0" borderId="0" xfId="0" applyFont="1"/>
    <xf numFmtId="0" fontId="72" fillId="0" borderId="0" xfId="0" applyFont="1" applyBorder="1" applyAlignment="1">
      <alignment horizontal="center"/>
    </xf>
    <xf numFmtId="0" fontId="72" fillId="0" borderId="0" xfId="0" applyFont="1" applyFill="1" applyBorder="1" applyAlignment="1">
      <alignment horizontal="center"/>
    </xf>
    <xf numFmtId="3" fontId="64" fillId="16" borderId="45" xfId="0" applyNumberFormat="1" applyFont="1" applyFill="1" applyBorder="1" applyAlignment="1">
      <alignment horizontal="center" vertical="center" wrapText="1"/>
    </xf>
    <xf numFmtId="9" fontId="74" fillId="13" borderId="45" xfId="1" applyFont="1" applyFill="1" applyBorder="1" applyAlignment="1">
      <alignment horizontal="center" vertical="center"/>
    </xf>
    <xf numFmtId="9" fontId="71" fillId="13" borderId="71" xfId="1" applyFont="1" applyFill="1" applyBorder="1" applyAlignment="1">
      <alignment horizontal="center" vertical="center"/>
    </xf>
    <xf numFmtId="9" fontId="71" fillId="13" borderId="42" xfId="1" applyFont="1" applyFill="1" applyBorder="1" applyAlignment="1">
      <alignment horizontal="center" vertical="center"/>
    </xf>
    <xf numFmtId="9" fontId="71" fillId="13" borderId="36" xfId="1" applyFont="1" applyFill="1" applyBorder="1" applyAlignment="1">
      <alignment horizontal="center" vertical="center"/>
    </xf>
    <xf numFmtId="9" fontId="74" fillId="13" borderId="45" xfId="1" applyNumberFormat="1" applyFont="1" applyFill="1" applyBorder="1" applyAlignment="1">
      <alignment horizontal="center" vertical="center"/>
    </xf>
    <xf numFmtId="9" fontId="71" fillId="13" borderId="35" xfId="1" applyNumberFormat="1" applyFont="1" applyFill="1" applyBorder="1" applyAlignment="1">
      <alignment horizontal="center" vertical="center"/>
    </xf>
    <xf numFmtId="9" fontId="71" fillId="13" borderId="42" xfId="1" applyNumberFormat="1" applyFont="1" applyFill="1" applyBorder="1" applyAlignment="1">
      <alignment horizontal="center" vertical="center"/>
    </xf>
    <xf numFmtId="9" fontId="71" fillId="13" borderId="36" xfId="1" applyNumberFormat="1" applyFont="1" applyFill="1" applyBorder="1" applyAlignment="1">
      <alignment horizontal="center" vertical="center"/>
    </xf>
    <xf numFmtId="9" fontId="74" fillId="13" borderId="29" xfId="1" applyFont="1" applyFill="1" applyBorder="1" applyAlignment="1">
      <alignment horizontal="center" vertical="center"/>
    </xf>
    <xf numFmtId="0" fontId="21" fillId="0" borderId="0" xfId="0" applyFont="1" applyAlignment="1">
      <alignment horizontal="center"/>
    </xf>
    <xf numFmtId="9" fontId="74" fillId="13" borderId="29" xfId="1" applyNumberFormat="1" applyFont="1" applyFill="1" applyBorder="1" applyAlignment="1">
      <alignment horizontal="center" vertical="center"/>
    </xf>
    <xf numFmtId="9" fontId="71" fillId="13" borderId="35" xfId="1" applyFont="1" applyFill="1" applyBorder="1" applyAlignment="1">
      <alignment horizontal="center" vertical="center"/>
    </xf>
    <xf numFmtId="9" fontId="74" fillId="0" borderId="45" xfId="1" applyNumberFormat="1" applyFont="1" applyFill="1" applyBorder="1" applyAlignment="1">
      <alignment horizontal="center" vertical="center"/>
    </xf>
    <xf numFmtId="9" fontId="71" fillId="13" borderId="0" xfId="1" applyNumberFormat="1" applyFont="1" applyFill="1" applyBorder="1" applyAlignment="1">
      <alignment horizontal="center" vertical="center"/>
    </xf>
    <xf numFmtId="9" fontId="74"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4" fillId="13" borderId="52" xfId="1" applyNumberFormat="1" applyFont="1" applyFill="1" applyBorder="1" applyAlignment="1">
      <alignment horizontal="center" vertical="center"/>
    </xf>
    <xf numFmtId="9" fontId="74" fillId="13" borderId="48" xfId="1" applyFont="1" applyFill="1" applyBorder="1" applyAlignment="1">
      <alignment horizontal="center" vertical="center"/>
    </xf>
    <xf numFmtId="9" fontId="74"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4" fillId="13" borderId="70" xfId="1" applyFont="1" applyFill="1" applyBorder="1" applyAlignment="1">
      <alignment horizontal="center" vertical="center"/>
    </xf>
    <xf numFmtId="9" fontId="74" fillId="13" borderId="46" xfId="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4" fillId="13" borderId="63" xfId="1" applyFont="1" applyFill="1" applyBorder="1" applyAlignment="1">
      <alignment horizontal="center" vertical="center"/>
    </xf>
    <xf numFmtId="0" fontId="61"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59" fillId="13" borderId="14" xfId="1" applyNumberFormat="1" applyFont="1" applyFill="1" applyBorder="1" applyAlignment="1">
      <alignment horizontal="right" vertical="center"/>
    </xf>
    <xf numFmtId="9" fontId="58" fillId="13" borderId="20" xfId="1" applyFont="1" applyFill="1" applyBorder="1" applyAlignment="1">
      <alignment horizontal="right" vertical="center"/>
    </xf>
    <xf numFmtId="9" fontId="58" fillId="18" borderId="19" xfId="1" applyFont="1" applyFill="1" applyBorder="1" applyAlignment="1">
      <alignment horizontal="right" vertical="center"/>
    </xf>
    <xf numFmtId="9" fontId="58"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18" fillId="0" borderId="0" xfId="0" applyFont="1" applyAlignment="1">
      <alignment horizontal="left"/>
    </xf>
    <xf numFmtId="0" fontId="20" fillId="0" borderId="1" xfId="0" applyFont="1" applyFill="1" applyBorder="1" applyAlignment="1">
      <alignment horizontal="justify" vertical="center" wrapText="1"/>
    </xf>
    <xf numFmtId="172" fontId="20" fillId="0" borderId="0" xfId="1" applyNumberFormat="1" applyFont="1"/>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42" fontId="28" fillId="0" borderId="1" xfId="5" applyFont="1" applyFill="1" applyBorder="1" applyAlignment="1">
      <alignment horizontal="righ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9" fontId="28" fillId="0" borderId="1" xfId="1" applyFont="1" applyBorder="1" applyAlignment="1">
      <alignment horizontal="left" vertical="center" wrapText="1"/>
    </xf>
    <xf numFmtId="9" fontId="28" fillId="0" borderId="1" xfId="0" applyNumberFormat="1" applyFont="1" applyBorder="1" applyAlignment="1">
      <alignment horizontal="right" vertical="center"/>
    </xf>
    <xf numFmtId="174" fontId="28" fillId="0" borderId="1" xfId="0" applyNumberFormat="1" applyFont="1" applyBorder="1" applyAlignment="1">
      <alignment vertical="center"/>
    </xf>
    <xf numFmtId="0" fontId="79" fillId="0" borderId="1" xfId="0" applyFont="1" applyBorder="1" applyAlignment="1">
      <alignment horizontal="righ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8"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9" fontId="20" fillId="0" borderId="1" xfId="1" applyNumberFormat="1" applyFont="1" applyFill="1" applyBorder="1" applyAlignment="1">
      <alignment wrapText="1"/>
    </xf>
    <xf numFmtId="9"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justify" vertical="center" wrapText="1"/>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0" fillId="0" borderId="1" xfId="5" applyFont="1" applyBorder="1" applyAlignment="1">
      <alignment horizontal="right"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9" fontId="28" fillId="0" borderId="1" xfId="1" applyFont="1" applyFill="1" applyBorder="1" applyAlignment="1">
      <alignment horizontal="justify" vertical="center"/>
    </xf>
    <xf numFmtId="9" fontId="82" fillId="0" borderId="1" xfId="1" applyFont="1" applyBorder="1" applyAlignment="1">
      <alignment horizontal="justify" vertical="center" wrapText="1"/>
    </xf>
    <xf numFmtId="9" fontId="71" fillId="13" borderId="13" xfId="1" applyNumberFormat="1" applyFont="1" applyFill="1" applyBorder="1" applyAlignment="1">
      <alignment horizontal="center" vertical="center"/>
    </xf>
    <xf numFmtId="9" fontId="71" fillId="13" borderId="26" xfId="1" applyNumberFormat="1" applyFont="1" applyFill="1" applyBorder="1" applyAlignment="1">
      <alignment horizontal="center" vertical="center"/>
    </xf>
    <xf numFmtId="9" fontId="71" fillId="13" borderId="28" xfId="1" applyNumberFormat="1" applyFont="1" applyFill="1" applyBorder="1" applyAlignment="1">
      <alignment horizontal="center" vertical="center"/>
    </xf>
    <xf numFmtId="9" fontId="71" fillId="13" borderId="14" xfId="1" applyNumberFormat="1" applyFont="1" applyFill="1" applyBorder="1" applyAlignment="1">
      <alignment horizontal="center" vertical="center"/>
    </xf>
    <xf numFmtId="9" fontId="71" fillId="13" borderId="17" xfId="1" applyNumberFormat="1" applyFont="1" applyFill="1" applyBorder="1" applyAlignment="1">
      <alignment horizontal="center" vertical="center"/>
    </xf>
    <xf numFmtId="9" fontId="71" fillId="13" borderId="58" xfId="1" applyNumberFormat="1" applyFont="1" applyFill="1" applyBorder="1" applyAlignment="1">
      <alignment horizontal="center" vertical="center"/>
    </xf>
    <xf numFmtId="9" fontId="71" fillId="13" borderId="26" xfId="1" applyFont="1" applyFill="1" applyBorder="1" applyAlignment="1">
      <alignment horizontal="center" vertical="center"/>
    </xf>
    <xf numFmtId="9" fontId="71" fillId="13" borderId="18" xfId="1" applyFont="1" applyFill="1" applyBorder="1" applyAlignment="1">
      <alignment horizontal="center" vertical="center"/>
    </xf>
    <xf numFmtId="9" fontId="71" fillId="13" borderId="16" xfId="1" applyFont="1" applyFill="1" applyBorder="1" applyAlignment="1">
      <alignment horizontal="center" vertical="center"/>
    </xf>
    <xf numFmtId="9" fontId="71" fillId="13" borderId="37" xfId="1" applyFont="1" applyFill="1" applyBorder="1" applyAlignment="1">
      <alignment horizontal="center" vertical="center"/>
    </xf>
    <xf numFmtId="9" fontId="71" fillId="13" borderId="15" xfId="1" applyFont="1" applyFill="1" applyBorder="1" applyAlignment="1">
      <alignment horizontal="center" vertical="center"/>
    </xf>
    <xf numFmtId="9" fontId="71" fillId="13" borderId="43" xfId="1" applyFont="1" applyFill="1" applyBorder="1" applyAlignment="1">
      <alignment horizontal="center" vertical="center"/>
    </xf>
    <xf numFmtId="9" fontId="71" fillId="13" borderId="75" xfId="1" applyFont="1" applyFill="1" applyBorder="1" applyAlignment="1">
      <alignment horizontal="center" vertical="center"/>
    </xf>
    <xf numFmtId="9" fontId="74" fillId="13" borderId="62" xfId="1" applyNumberFormat="1" applyFont="1" applyFill="1" applyBorder="1" applyAlignment="1">
      <alignment horizontal="center" vertical="center"/>
    </xf>
    <xf numFmtId="9" fontId="71" fillId="13" borderId="13" xfId="1" applyFont="1" applyFill="1" applyBorder="1" applyAlignment="1">
      <alignment horizontal="center" vertical="center"/>
    </xf>
    <xf numFmtId="9" fontId="71" fillId="13" borderId="28" xfId="1" applyFont="1" applyFill="1" applyBorder="1" applyAlignment="1">
      <alignment horizontal="center"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166" fontId="59" fillId="13" borderId="37" xfId="1" applyNumberFormat="1" applyFont="1" applyFill="1" applyBorder="1" applyAlignment="1">
      <alignment horizontal="right" vertical="center"/>
    </xf>
    <xf numFmtId="9" fontId="58" fillId="13" borderId="18" xfId="1" applyNumberFormat="1" applyFont="1" applyFill="1" applyBorder="1" applyAlignment="1">
      <alignment horizontal="right" vertical="center"/>
    </xf>
    <xf numFmtId="9" fontId="58" fillId="13" borderId="18" xfId="1" applyFont="1" applyFill="1" applyBorder="1" applyAlignment="1">
      <alignment horizontal="right" vertical="center"/>
    </xf>
    <xf numFmtId="172" fontId="58" fillId="13" borderId="18" xfId="1" applyNumberFormat="1" applyFont="1" applyFill="1" applyBorder="1" applyAlignment="1">
      <alignment horizontal="right" vertical="center"/>
    </xf>
    <xf numFmtId="0" fontId="20" fillId="0" borderId="1" xfId="0" applyFont="1" applyBorder="1" applyAlignment="1">
      <alignment horizontal="center" vertical="center"/>
    </xf>
    <xf numFmtId="0" fontId="16" fillId="0" borderId="0" xfId="13"/>
    <xf numFmtId="0" fontId="0" fillId="0" borderId="1" xfId="0" applyBorder="1" applyAlignment="1">
      <alignment horizontal="center"/>
    </xf>
    <xf numFmtId="10" fontId="74" fillId="13" borderId="52" xfId="1" applyNumberFormat="1" applyFont="1" applyFill="1" applyBorder="1" applyAlignment="1">
      <alignment horizontal="center" vertical="center"/>
    </xf>
    <xf numFmtId="10" fontId="74" fillId="13" borderId="48" xfId="1" applyNumberFormat="1" applyFont="1" applyFill="1" applyBorder="1" applyAlignment="1">
      <alignment horizontal="center" vertical="center"/>
    </xf>
    <xf numFmtId="10" fontId="74" fillId="13" borderId="45" xfId="1" applyNumberFormat="1" applyFont="1" applyFill="1" applyBorder="1" applyAlignment="1">
      <alignment horizontal="center" vertical="center"/>
    </xf>
    <xf numFmtId="10" fontId="74" fillId="13" borderId="49" xfId="1"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Fill="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8" xfId="0" applyFont="1" applyFill="1" applyBorder="1" applyAlignment="1">
      <alignment horizontal="center" vertical="center" wrapText="1"/>
    </xf>
    <xf numFmtId="9" fontId="58" fillId="18"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0" fontId="20" fillId="0" borderId="1" xfId="0" applyFont="1" applyBorder="1" applyAlignment="1">
      <alignment horizontal="justify" vertical="center" wrapText="1"/>
    </xf>
    <xf numFmtId="0" fontId="0" fillId="0" borderId="39" xfId="0" applyBorder="1" applyAlignment="1">
      <alignment horizontal="center" vertical="center"/>
    </xf>
    <xf numFmtId="0" fontId="20" fillId="0" borderId="1" xfId="0" applyFont="1" applyBorder="1" applyAlignment="1">
      <alignment vertical="center" wrapText="1"/>
    </xf>
    <xf numFmtId="42" fontId="82" fillId="0" borderId="1" xfId="5" applyFont="1" applyFill="1" applyBorder="1" applyAlignment="1">
      <alignment horizontal="right" vertical="center"/>
    </xf>
    <xf numFmtId="0" fontId="82" fillId="0" borderId="1" xfId="0" applyFont="1" applyFill="1" applyBorder="1" applyAlignment="1">
      <alignment horizontal="right" vertical="center"/>
    </xf>
    <xf numFmtId="0" fontId="82" fillId="0" borderId="1" xfId="0" applyFont="1" applyFill="1" applyBorder="1" applyAlignment="1">
      <alignment horizontal="center" vertical="center"/>
    </xf>
    <xf numFmtId="1" fontId="82" fillId="0" borderId="1" xfId="0" applyNumberFormat="1" applyFont="1" applyFill="1" applyBorder="1" applyAlignment="1">
      <alignment horizontal="right" vertical="center"/>
    </xf>
    <xf numFmtId="0" fontId="84" fillId="0" borderId="0" xfId="0" applyFont="1" applyFill="1"/>
    <xf numFmtId="0" fontId="84" fillId="0" borderId="1" xfId="0" applyFont="1" applyBorder="1"/>
    <xf numFmtId="9" fontId="82" fillId="0" borderId="1" xfId="0" applyNumberFormat="1" applyFont="1" applyFill="1" applyBorder="1" applyAlignment="1">
      <alignment horizontal="justify" vertical="center"/>
    </xf>
    <xf numFmtId="0" fontId="55" fillId="0" borderId="0" xfId="0" applyNumberFormat="1" applyFont="1" applyBorder="1" applyAlignment="1">
      <alignment horizontal="center" vertical="center" wrapText="1"/>
    </xf>
    <xf numFmtId="41" fontId="82" fillId="0" borderId="1" xfId="3" applyFont="1" applyFill="1" applyBorder="1" applyAlignment="1">
      <alignment horizontal="right" vertical="center"/>
    </xf>
    <xf numFmtId="42" fontId="82" fillId="0" borderId="1" xfId="5" applyFont="1" applyFill="1" applyBorder="1" applyAlignment="1">
      <alignment horizontal="right" vertical="center" wrapText="1"/>
    </xf>
    <xf numFmtId="9" fontId="82" fillId="0" borderId="1" xfId="3" applyNumberFormat="1" applyFont="1" applyFill="1" applyBorder="1" applyAlignment="1">
      <alignment horizontal="right" vertical="center"/>
    </xf>
    <xf numFmtId="0" fontId="20" fillId="20" borderId="1" xfId="0" applyFont="1" applyFill="1" applyBorder="1" applyAlignment="1">
      <alignment horizontal="justify" vertical="center" wrapText="1"/>
    </xf>
    <xf numFmtId="0" fontId="28" fillId="20" borderId="1" xfId="0" applyFont="1" applyFill="1" applyBorder="1" applyAlignment="1">
      <alignment horizontal="center" vertical="center" wrapText="1"/>
    </xf>
    <xf numFmtId="1" fontId="28" fillId="20" borderId="1" xfId="1" applyNumberFormat="1" applyFont="1" applyFill="1" applyBorder="1" applyAlignment="1">
      <alignment horizontal="right" vertical="center" wrapText="1"/>
    </xf>
    <xf numFmtId="0" fontId="28" fillId="20" borderId="1" xfId="0" applyFont="1" applyFill="1" applyBorder="1" applyAlignment="1">
      <alignment horizontal="center" vertical="center"/>
    </xf>
    <xf numFmtId="9" fontId="28" fillId="20" borderId="1" xfId="0" applyNumberFormat="1" applyFont="1" applyFill="1" applyBorder="1" applyAlignment="1">
      <alignment horizontal="right" vertical="center" wrapText="1"/>
    </xf>
    <xf numFmtId="9" fontId="28" fillId="20" borderId="1" xfId="1" applyFont="1" applyFill="1" applyBorder="1" applyAlignment="1">
      <alignment horizontal="right" vertical="center" wrapText="1"/>
    </xf>
    <xf numFmtId="9" fontId="28" fillId="20" borderId="1" xfId="1" applyNumberFormat="1" applyFont="1" applyFill="1" applyBorder="1" applyAlignment="1">
      <alignment horizontal="left" vertical="center" wrapText="1"/>
    </xf>
    <xf numFmtId="0" fontId="28" fillId="20" borderId="1" xfId="0" applyFont="1" applyFill="1" applyBorder="1"/>
    <xf numFmtId="42" fontId="28" fillId="20" borderId="0" xfId="0" applyNumberFormat="1" applyFont="1" applyFill="1"/>
    <xf numFmtId="0" fontId="28" fillId="20" borderId="0" xfId="0" applyFont="1" applyFill="1"/>
    <xf numFmtId="9" fontId="28" fillId="20" borderId="1" xfId="1" applyFont="1" applyFill="1" applyBorder="1" applyAlignment="1">
      <alignment horizontal="right" vertical="center"/>
    </xf>
    <xf numFmtId="10" fontId="28"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wrapText="1"/>
    </xf>
    <xf numFmtId="0" fontId="0" fillId="20" borderId="1" xfId="0" applyFill="1" applyBorder="1"/>
    <xf numFmtId="0" fontId="20" fillId="0" borderId="0" xfId="0" applyFont="1" applyAlignment="1">
      <alignment horizontal="center" wrapText="1"/>
    </xf>
    <xf numFmtId="1" fontId="20" fillId="20" borderId="1" xfId="0" applyNumberFormat="1" applyFont="1" applyFill="1" applyBorder="1" applyAlignment="1">
      <alignment horizontal="right" vertical="center"/>
    </xf>
    <xf numFmtId="42" fontId="20" fillId="20" borderId="1" xfId="5" applyFont="1" applyFill="1" applyBorder="1" applyAlignment="1">
      <alignment horizontal="right" vertical="center"/>
    </xf>
    <xf numFmtId="0" fontId="20" fillId="20" borderId="1" xfId="0" applyFont="1" applyFill="1" applyBorder="1" applyAlignment="1">
      <alignment horizontal="right" vertical="center"/>
    </xf>
    <xf numFmtId="0" fontId="20" fillId="20" borderId="1" xfId="0" applyFont="1" applyFill="1" applyBorder="1" applyAlignment="1">
      <alignment horizontal="justify" vertical="center"/>
    </xf>
    <xf numFmtId="42" fontId="20" fillId="20" borderId="1" xfId="0" applyNumberFormat="1" applyFont="1" applyFill="1" applyBorder="1" applyAlignment="1">
      <alignment horizontal="right" vertical="center"/>
    </xf>
    <xf numFmtId="0" fontId="20" fillId="20" borderId="1" xfId="0" applyFont="1" applyFill="1" applyBorder="1"/>
    <xf numFmtId="0" fontId="20" fillId="20" borderId="0" xfId="0" applyFont="1" applyFill="1"/>
    <xf numFmtId="9" fontId="82" fillId="0" borderId="1" xfId="0" applyNumberFormat="1" applyFont="1" applyFill="1" applyBorder="1" applyAlignment="1">
      <alignment horizontal="right" vertical="center"/>
    </xf>
    <xf numFmtId="0" fontId="44" fillId="0" borderId="20" xfId="0" applyFont="1" applyBorder="1" applyAlignment="1">
      <alignment horizontal="center" vertical="center" wrapText="1"/>
    </xf>
    <xf numFmtId="166" fontId="28" fillId="20" borderId="1" xfId="0" applyNumberFormat="1" applyFont="1" applyFill="1" applyBorder="1" applyAlignment="1">
      <alignment horizontal="right" vertical="center" wrapText="1"/>
    </xf>
    <xf numFmtId="0" fontId="28" fillId="20" borderId="18" xfId="0" applyFont="1" applyFill="1" applyBorder="1" applyAlignment="1">
      <alignment horizontal="justify" vertical="center"/>
    </xf>
    <xf numFmtId="9" fontId="28" fillId="20" borderId="18" xfId="1" applyFont="1" applyFill="1" applyBorder="1" applyAlignment="1">
      <alignment horizontal="right" vertical="center"/>
    </xf>
    <xf numFmtId="1" fontId="28" fillId="20" borderId="1" xfId="0" applyNumberFormat="1" applyFont="1" applyFill="1" applyBorder="1" applyAlignment="1">
      <alignment horizontal="right" vertical="center"/>
    </xf>
    <xf numFmtId="9" fontId="28" fillId="20" borderId="1" xfId="1" applyFont="1" applyFill="1" applyBorder="1" applyAlignment="1">
      <alignment horizontal="center" vertical="center" wrapText="1"/>
    </xf>
    <xf numFmtId="0" fontId="28" fillId="20" borderId="1" xfId="0" applyFont="1" applyFill="1" applyBorder="1" applyAlignment="1">
      <alignment horizontal="right"/>
    </xf>
    <xf numFmtId="0" fontId="82" fillId="0" borderId="1" xfId="0" applyFont="1" applyFill="1" applyBorder="1" applyAlignment="1">
      <alignment horizontal="justify" vertical="center"/>
    </xf>
    <xf numFmtId="1" fontId="82" fillId="0" borderId="1" xfId="1" applyNumberFormat="1" applyFont="1" applyFill="1" applyBorder="1" applyAlignment="1">
      <alignment horizontal="right" vertical="center"/>
    </xf>
    <xf numFmtId="10" fontId="82" fillId="0" borderId="1" xfId="0" applyNumberFormat="1" applyFont="1" applyFill="1" applyBorder="1" applyAlignment="1">
      <alignment horizontal="right" vertical="center"/>
    </xf>
    <xf numFmtId="10" fontId="82" fillId="0" borderId="1" xfId="3" applyNumberFormat="1" applyFont="1" applyFill="1" applyBorder="1" applyAlignment="1">
      <alignment horizontal="right" vertical="center"/>
    </xf>
    <xf numFmtId="3" fontId="82" fillId="0" borderId="1" xfId="0" applyNumberFormat="1" applyFont="1" applyFill="1" applyBorder="1" applyAlignment="1">
      <alignment horizontal="right" vertical="center"/>
    </xf>
    <xf numFmtId="0" fontId="28" fillId="20" borderId="1" xfId="1" applyNumberFormat="1" applyFont="1" applyFill="1" applyBorder="1" applyAlignment="1">
      <alignment horizontal="right" vertical="center"/>
    </xf>
    <xf numFmtId="0" fontId="20"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xf>
    <xf numFmtId="0" fontId="20" fillId="20" borderId="1" xfId="0" applyFont="1" applyFill="1" applyBorder="1" applyAlignment="1">
      <alignment horizontal="center"/>
    </xf>
    <xf numFmtId="42" fontId="82" fillId="0" borderId="1" xfId="27" applyFont="1" applyFill="1" applyBorder="1" applyAlignment="1">
      <alignment horizontal="right" vertical="center"/>
    </xf>
    <xf numFmtId="0" fontId="82" fillId="0" borderId="1" xfId="1" applyNumberFormat="1" applyFont="1" applyFill="1" applyBorder="1" applyAlignment="1">
      <alignment horizontal="right" vertical="center"/>
    </xf>
    <xf numFmtId="0" fontId="82" fillId="0" borderId="1" xfId="0" applyNumberFormat="1" applyFont="1" applyFill="1" applyBorder="1" applyAlignment="1">
      <alignment horizontal="right" vertical="center"/>
    </xf>
    <xf numFmtId="42" fontId="82" fillId="0" borderId="1" xfId="0" applyNumberFormat="1" applyFont="1" applyFill="1" applyBorder="1" applyAlignment="1">
      <alignment horizontal="right" vertical="center"/>
    </xf>
    <xf numFmtId="0" fontId="20" fillId="0" borderId="0" xfId="0" applyFont="1" applyAlignment="1">
      <alignment horizontal="left" wrapText="1"/>
    </xf>
    <xf numFmtId="0" fontId="20" fillId="20" borderId="1" xfId="0" applyFont="1" applyFill="1" applyBorder="1" applyAlignment="1">
      <alignment horizontal="center" vertical="center"/>
    </xf>
    <xf numFmtId="0" fontId="28" fillId="20" borderId="1" xfId="0" applyFont="1" applyFill="1" applyBorder="1" applyAlignment="1">
      <alignment vertical="center" wrapText="1"/>
    </xf>
    <xf numFmtId="0" fontId="20" fillId="20" borderId="1" xfId="1" applyNumberFormat="1" applyFont="1" applyFill="1" applyBorder="1" applyAlignment="1">
      <alignment horizontal="right" vertical="center"/>
    </xf>
    <xf numFmtId="0" fontId="82" fillId="0" borderId="1" xfId="0" applyNumberFormat="1" applyFont="1" applyFill="1" applyBorder="1" applyAlignment="1">
      <alignment horizontal="justify" vertical="center" wrapText="1"/>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82" fillId="0" borderId="0" xfId="1" applyNumberFormat="1" applyFont="1" applyFill="1" applyBorder="1" applyAlignment="1">
      <alignment horizontal="right" vertical="center"/>
    </xf>
    <xf numFmtId="42" fontId="84" fillId="0" borderId="0" xfId="5" applyFont="1" applyFill="1" applyBorder="1" applyAlignment="1">
      <alignment vertical="center"/>
    </xf>
    <xf numFmtId="0" fontId="28" fillId="0" borderId="0" xfId="0" applyFont="1" applyFill="1" applyBorder="1" applyAlignment="1">
      <alignment horizontal="justify" vertical="center" wrapText="1"/>
    </xf>
    <xf numFmtId="42" fontId="28" fillId="0" borderId="0" xfId="0" applyNumberFormat="1" applyFont="1" applyFill="1" applyBorder="1" applyAlignment="1">
      <alignment horizontal="right" vertical="center"/>
    </xf>
    <xf numFmtId="1" fontId="82" fillId="0" borderId="0" xfId="0" applyNumberFormat="1" applyFont="1" applyFill="1" applyBorder="1" applyAlignment="1">
      <alignment horizontal="right" vertical="center"/>
    </xf>
    <xf numFmtId="42" fontId="28" fillId="0" borderId="0" xfId="5" applyFont="1" applyFill="1" applyBorder="1" applyAlignment="1">
      <alignment horizontal="right" vertical="center"/>
    </xf>
    <xf numFmtId="0" fontId="28" fillId="0" borderId="0" xfId="0" applyFont="1" applyFill="1" applyBorder="1" applyAlignment="1">
      <alignment horizontal="right" vertical="center"/>
    </xf>
    <xf numFmtId="42" fontId="28" fillId="0" borderId="0" xfId="5" applyFont="1" applyFill="1" applyBorder="1" applyAlignment="1">
      <alignment horizontal="right" vertical="center" wrapText="1"/>
    </xf>
    <xf numFmtId="9" fontId="28" fillId="0" borderId="0" xfId="1" applyNumberFormat="1" applyFont="1" applyFill="1" applyBorder="1" applyAlignment="1">
      <alignment horizontal="right" vertical="center"/>
    </xf>
    <xf numFmtId="9" fontId="28" fillId="0" borderId="0" xfId="1" applyNumberFormat="1" applyFont="1" applyFill="1" applyBorder="1" applyAlignment="1">
      <alignment horizontal="left" vertical="center" wrapText="1"/>
    </xf>
    <xf numFmtId="0" fontId="28" fillId="0" borderId="0" xfId="0" applyFont="1" applyFill="1" applyBorder="1"/>
    <xf numFmtId="0" fontId="28" fillId="0" borderId="0" xfId="0" applyFont="1" applyFill="1" applyBorder="1" applyAlignment="1">
      <alignment horizontal="center"/>
    </xf>
    <xf numFmtId="0" fontId="28" fillId="0" borderId="0" xfId="1" applyNumberFormat="1" applyFont="1" applyFill="1" applyBorder="1" applyAlignment="1">
      <alignment horizontal="right" vertical="center"/>
    </xf>
    <xf numFmtId="1" fontId="82" fillId="0" borderId="0" xfId="3" applyNumberFormat="1" applyFont="1" applyFill="1" applyBorder="1" applyAlignment="1">
      <alignment horizontal="right" vertical="center"/>
    </xf>
    <xf numFmtId="9" fontId="28" fillId="0" borderId="0" xfId="0" applyNumberFormat="1" applyFont="1" applyFill="1" applyBorder="1" applyAlignment="1">
      <alignment horizontal="right" vertical="center"/>
    </xf>
    <xf numFmtId="0" fontId="28" fillId="0" borderId="0" xfId="0" applyNumberFormat="1" applyFont="1" applyFill="1" applyBorder="1" applyAlignment="1">
      <alignment horizontal="right" vertical="center"/>
    </xf>
    <xf numFmtId="9" fontId="28" fillId="0" borderId="0" xfId="1" applyNumberFormat="1" applyFont="1" applyFill="1" applyBorder="1" applyAlignment="1">
      <alignment horizontal="right"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8" fillId="21" borderId="1" xfId="0" applyFont="1" applyFill="1" applyBorder="1" applyAlignment="1">
      <alignment horizontal="center" vertical="center"/>
    </xf>
    <xf numFmtId="42" fontId="28" fillId="21" borderId="0" xfId="0" applyNumberFormat="1" applyFont="1" applyFill="1"/>
    <xf numFmtId="0" fontId="20" fillId="21" borderId="0" xfId="0" applyFont="1" applyFill="1"/>
    <xf numFmtId="42" fontId="85" fillId="0" borderId="1" xfId="5" applyFont="1" applyBorder="1" applyAlignment="1">
      <alignment horizontal="right" vertical="center"/>
    </xf>
    <xf numFmtId="9" fontId="28" fillId="0" borderId="1" xfId="1"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166" fontId="28" fillId="0" borderId="1" xfId="0" applyNumberFormat="1" applyFont="1" applyFill="1" applyBorder="1" applyAlignment="1">
      <alignment horizontal="center" vertical="center" wrapText="1"/>
    </xf>
    <xf numFmtId="10" fontId="28" fillId="0" borderId="1" xfId="0" applyNumberFormat="1" applyFont="1" applyFill="1" applyBorder="1" applyAlignment="1">
      <alignment horizontal="center" vertical="center" wrapText="1"/>
    </xf>
    <xf numFmtId="41" fontId="28" fillId="0" borderId="1" xfId="3" applyFont="1" applyFill="1" applyBorder="1" applyAlignment="1">
      <alignment vertical="center"/>
    </xf>
    <xf numFmtId="175" fontId="28" fillId="0" borderId="1" xfId="0" applyNumberFormat="1" applyFont="1" applyFill="1" applyBorder="1" applyAlignment="1">
      <alignment horizontal="center" vertical="center"/>
    </xf>
    <xf numFmtId="9" fontId="28" fillId="0" borderId="18" xfId="1" applyNumberFormat="1" applyFont="1" applyFill="1" applyBorder="1" applyAlignment="1">
      <alignment horizontal="right" vertical="center"/>
    </xf>
    <xf numFmtId="0" fontId="82" fillId="0" borderId="18" xfId="0" applyFont="1" applyFill="1" applyBorder="1" applyAlignment="1">
      <alignment horizontal="justify" vertical="center" wrapText="1"/>
    </xf>
    <xf numFmtId="0" fontId="28" fillId="0" borderId="18" xfId="0" applyFont="1" applyFill="1" applyBorder="1" applyAlignment="1">
      <alignment horizontal="right"/>
    </xf>
    <xf numFmtId="9" fontId="28" fillId="0" borderId="18" xfId="0" applyNumberFormat="1" applyFont="1" applyFill="1" applyBorder="1" applyAlignment="1">
      <alignment horizontal="center" vertical="center"/>
    </xf>
    <xf numFmtId="0" fontId="28" fillId="2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42" fontId="28" fillId="0" borderId="1" xfId="5" applyFont="1" applyFill="1" applyBorder="1" applyAlignment="1">
      <alignment horizontal="right" vertical="center" wrapText="1"/>
    </xf>
    <xf numFmtId="0" fontId="82" fillId="0" borderId="1" xfId="0" applyFont="1" applyFill="1" applyBorder="1" applyAlignment="1">
      <alignment horizontal="justify" vertical="center" wrapText="1"/>
    </xf>
    <xf numFmtId="42" fontId="28" fillId="0" borderId="1" xfId="0" applyNumberFormat="1" applyFont="1" applyFill="1" applyBorder="1" applyAlignment="1">
      <alignment horizontal="right" vertical="center"/>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9" fontId="28" fillId="0" borderId="1" xfId="1" applyFont="1" applyFill="1" applyBorder="1" applyAlignment="1">
      <alignment horizontal="right" vertical="center"/>
    </xf>
    <xf numFmtId="9" fontId="28" fillId="20" borderId="1" xfId="0" applyNumberFormat="1" applyFont="1" applyFill="1" applyBorder="1" applyAlignment="1">
      <alignment horizontal="right" vertical="center"/>
    </xf>
    <xf numFmtId="42" fontId="28" fillId="0" borderId="1" xfId="5" applyFont="1" applyFill="1" applyBorder="1" applyAlignment="1">
      <alignment horizontal="center"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0" fontId="28" fillId="21" borderId="1" xfId="0" applyFont="1" applyFill="1" applyBorder="1" applyAlignment="1">
      <alignment horizontal="justify" vertical="center" wrapText="1"/>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0" borderId="1" xfId="0" applyFont="1" applyFill="1" applyBorder="1" applyAlignment="1">
      <alignment horizontal="center" vertical="center"/>
    </xf>
    <xf numFmtId="0" fontId="28" fillId="20" borderId="18" xfId="0" applyFont="1" applyFill="1" applyBorder="1" applyAlignment="1">
      <alignment horizontal="center" vertical="center"/>
    </xf>
    <xf numFmtId="0" fontId="28" fillId="21" borderId="1" xfId="0" applyFont="1" applyFill="1" applyBorder="1" applyAlignment="1">
      <alignment horizontal="right" vertical="center"/>
    </xf>
    <xf numFmtId="0" fontId="28" fillId="20" borderId="18" xfId="0" applyFont="1" applyFill="1" applyBorder="1" applyAlignment="1">
      <alignment horizontal="justify"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42" fontId="20" fillId="0" borderId="1" xfId="5" applyFont="1" applyFill="1" applyBorder="1" applyAlignment="1">
      <alignment horizontal="right" vertical="center"/>
    </xf>
    <xf numFmtId="0" fontId="28" fillId="20" borderId="1" xfId="0" applyFont="1" applyFill="1" applyBorder="1" applyAlignment="1">
      <alignment horizontal="justify"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9" fontId="20" fillId="21" borderId="1" xfId="0" applyNumberFormat="1" applyFont="1" applyFill="1" applyBorder="1" applyAlignment="1">
      <alignment horizontal="right" vertical="center"/>
    </xf>
    <xf numFmtId="0" fontId="44" fillId="0" borderId="1" xfId="0" applyFont="1" applyBorder="1" applyAlignment="1">
      <alignment horizontal="center" vertical="center" wrapText="1"/>
    </xf>
    <xf numFmtId="0" fontId="44" fillId="0" borderId="4" xfId="0" applyFont="1" applyFill="1" applyBorder="1" applyAlignment="1">
      <alignment horizontal="center"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55" fillId="0" borderId="41"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Border="1" applyAlignment="1">
      <alignment horizontal="justify" vertical="center" wrapText="1"/>
    </xf>
    <xf numFmtId="0" fontId="0" fillId="0" borderId="1" xfId="0" applyBorder="1" applyAlignment="1">
      <alignment horizontal="center" vertical="center"/>
    </xf>
    <xf numFmtId="0" fontId="20" fillId="0" borderId="1" xfId="0" applyFont="1" applyBorder="1" applyAlignment="1">
      <alignment horizontal="justify" vertical="center" wrapText="1"/>
    </xf>
    <xf numFmtId="0" fontId="82" fillId="0" borderId="1" xfId="0" applyFont="1" applyFill="1" applyBorder="1" applyAlignment="1">
      <alignment horizontal="center" vertical="center" wrapText="1"/>
    </xf>
    <xf numFmtId="0" fontId="28" fillId="0" borderId="18" xfId="0" applyFont="1" applyFill="1" applyBorder="1" applyAlignment="1">
      <alignment horizontal="center"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9" fontId="28" fillId="20" borderId="1" xfId="0" applyNumberFormat="1" applyFont="1" applyFill="1" applyBorder="1" applyAlignment="1">
      <alignment horizontal="right" vertical="center"/>
    </xf>
    <xf numFmtId="0" fontId="28" fillId="0" borderId="1" xfId="0"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4"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2" xfId="1" applyFont="1" applyFill="1" applyBorder="1" applyAlignment="1">
      <alignment horizontal="center" vertical="center"/>
    </xf>
    <xf numFmtId="0" fontId="44" fillId="0" borderId="4"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28" fillId="20" borderId="1" xfId="1" applyNumberFormat="1" applyFont="1" applyFill="1" applyBorder="1" applyAlignment="1">
      <alignment horizontal="justify" vertical="center"/>
    </xf>
    <xf numFmtId="9" fontId="87" fillId="0" borderId="1" xfId="1" applyFont="1" applyBorder="1" applyAlignment="1">
      <alignment horizontal="justify" vertical="center" wrapText="1"/>
    </xf>
    <xf numFmtId="9" fontId="87" fillId="0" borderId="1" xfId="1" applyNumberFormat="1" applyFont="1" applyFill="1" applyBorder="1" applyAlignment="1">
      <alignment horizontal="justify" vertical="center" wrapText="1"/>
    </xf>
    <xf numFmtId="174" fontId="28" fillId="0" borderId="1" xfId="0" applyNumberFormat="1" applyFont="1" applyFill="1" applyBorder="1" applyAlignment="1">
      <alignment horizontal="right" vertical="center"/>
    </xf>
    <xf numFmtId="9" fontId="87" fillId="0" borderId="1" xfId="1" applyFont="1" applyFill="1" applyBorder="1" applyAlignment="1">
      <alignment horizontal="center" vertical="center"/>
    </xf>
    <xf numFmtId="9" fontId="28" fillId="0" borderId="1" xfId="0" applyNumberFormat="1" applyFont="1" applyFill="1" applyBorder="1" applyAlignment="1">
      <alignment horizontal="center" vertical="center" wrapText="1"/>
    </xf>
    <xf numFmtId="9" fontId="20" fillId="0" borderId="1" xfId="1" applyNumberFormat="1" applyFont="1" applyFill="1" applyBorder="1" applyAlignment="1">
      <alignment horizontal="justify" vertical="center" wrapText="1"/>
    </xf>
    <xf numFmtId="9" fontId="20" fillId="0" borderId="1" xfId="1" applyFont="1" applyBorder="1" applyAlignment="1">
      <alignment horizontal="justify" vertical="center"/>
    </xf>
    <xf numFmtId="166" fontId="28" fillId="0" borderId="1" xfId="1" applyNumberFormat="1" applyFont="1" applyFill="1" applyBorder="1" applyAlignment="1">
      <alignment horizontal="center" vertical="center"/>
    </xf>
    <xf numFmtId="9" fontId="20" fillId="0" borderId="1" xfId="1" applyNumberFormat="1" applyFont="1" applyFill="1" applyBorder="1" applyAlignment="1">
      <alignment horizontal="justify" vertical="center"/>
    </xf>
    <xf numFmtId="42" fontId="20" fillId="0" borderId="1" xfId="5" applyFont="1" applyFill="1" applyBorder="1" applyAlignment="1">
      <alignment horizontal="justify" vertical="center"/>
    </xf>
    <xf numFmtId="0" fontId="37" fillId="16" borderId="4" xfId="0" applyFont="1" applyFill="1" applyBorder="1" applyAlignment="1">
      <alignment horizontal="center" vertical="center" wrapText="1"/>
    </xf>
    <xf numFmtId="9" fontId="82" fillId="0" borderId="1" xfId="0" applyNumberFormat="1" applyFont="1" applyFill="1" applyBorder="1" applyAlignment="1">
      <alignment horizontal="justify" vertical="center" wrapText="1"/>
    </xf>
    <xf numFmtId="9" fontId="28" fillId="0" borderId="1" xfId="0" applyNumberFormat="1" applyFont="1" applyFill="1" applyBorder="1" applyAlignment="1">
      <alignment horizontal="justify" vertical="center" wrapText="1"/>
    </xf>
    <xf numFmtId="0" fontId="28" fillId="0" borderId="5" xfId="0" applyFont="1" applyFill="1" applyBorder="1" applyAlignment="1">
      <alignment horizontal="right" vertical="center"/>
    </xf>
    <xf numFmtId="0" fontId="28" fillId="0" borderId="24" xfId="0" applyFont="1" applyFill="1" applyBorder="1" applyAlignment="1">
      <alignment horizontal="justify" vertical="center" wrapText="1"/>
    </xf>
    <xf numFmtId="0" fontId="28" fillId="0" borderId="24" xfId="0" applyFont="1" applyFill="1" applyBorder="1" applyAlignment="1">
      <alignment horizontal="right" vertical="center"/>
    </xf>
    <xf numFmtId="0" fontId="28" fillId="0" borderId="24" xfId="0" applyFont="1" applyFill="1" applyBorder="1" applyAlignment="1">
      <alignment horizontal="center" vertical="center"/>
    </xf>
    <xf numFmtId="0" fontId="82" fillId="0" borderId="24" xfId="0" applyFont="1" applyFill="1" applyBorder="1" applyAlignment="1">
      <alignment horizontal="justify" vertical="center" wrapText="1"/>
    </xf>
    <xf numFmtId="0" fontId="28" fillId="0" borderId="24" xfId="0" applyFont="1" applyFill="1" applyBorder="1" applyAlignment="1">
      <alignment horizontal="justify" vertical="center"/>
    </xf>
    <xf numFmtId="9" fontId="28" fillId="0" borderId="24" xfId="1" applyFont="1" applyFill="1" applyBorder="1" applyAlignment="1">
      <alignment horizontal="right" vertical="center"/>
    </xf>
    <xf numFmtId="9" fontId="28" fillId="0" borderId="24" xfId="1" applyNumberFormat="1" applyFont="1" applyFill="1" applyBorder="1" applyAlignment="1">
      <alignment horizontal="right" vertical="center"/>
    </xf>
    <xf numFmtId="9" fontId="28" fillId="0" borderId="24"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9" fontId="28" fillId="0" borderId="8" xfId="1" applyNumberFormat="1" applyFont="1" applyFill="1" applyBorder="1" applyAlignment="1">
      <alignment horizontal="right" vertical="center" wrapText="1"/>
    </xf>
    <xf numFmtId="9" fontId="20" fillId="0" borderId="8" xfId="1" applyNumberFormat="1" applyFont="1" applyFill="1" applyBorder="1" applyAlignment="1">
      <alignment horizontal="right" vertical="center" wrapText="1"/>
    </xf>
    <xf numFmtId="0" fontId="20" fillId="0" borderId="7" xfId="0" applyFont="1" applyFill="1" applyBorder="1" applyAlignment="1">
      <alignment horizontal="right" vertical="center"/>
    </xf>
    <xf numFmtId="0" fontId="20" fillId="0" borderId="9" xfId="0" applyFont="1" applyFill="1" applyBorder="1" applyAlignment="1">
      <alignment horizontal="right" vertical="center"/>
    </xf>
    <xf numFmtId="0" fontId="20" fillId="0" borderId="25" xfId="0" applyFont="1" applyFill="1" applyBorder="1" applyAlignment="1">
      <alignment horizontal="justify" vertical="center" wrapText="1"/>
    </xf>
    <xf numFmtId="0" fontId="20" fillId="0" borderId="25" xfId="0" applyFont="1" applyFill="1" applyBorder="1" applyAlignment="1">
      <alignment horizontal="center" vertical="center" wrapText="1"/>
    </xf>
    <xf numFmtId="0" fontId="20" fillId="0" borderId="25" xfId="0" applyFont="1" applyFill="1" applyBorder="1" applyAlignment="1">
      <alignment horizontal="right" vertical="center"/>
    </xf>
    <xf numFmtId="0" fontId="20" fillId="0" borderId="25" xfId="0" applyFont="1" applyFill="1" applyBorder="1" applyAlignment="1">
      <alignment horizontal="right" vertical="center" wrapText="1"/>
    </xf>
    <xf numFmtId="0" fontId="20" fillId="0" borderId="25" xfId="0" applyFont="1" applyFill="1" applyBorder="1" applyAlignment="1">
      <alignment horizontal="center" vertical="center"/>
    </xf>
    <xf numFmtId="1" fontId="20" fillId="0" borderId="25" xfId="0" applyNumberFormat="1" applyFont="1" applyFill="1" applyBorder="1" applyAlignment="1">
      <alignment horizontal="right" vertical="center"/>
    </xf>
    <xf numFmtId="42" fontId="20" fillId="0" borderId="25" xfId="5" applyFont="1" applyFill="1" applyBorder="1" applyAlignment="1">
      <alignment horizontal="right" vertical="center"/>
    </xf>
    <xf numFmtId="9" fontId="28" fillId="0" borderId="25" xfId="1" applyFont="1" applyFill="1" applyBorder="1" applyAlignment="1">
      <alignment horizontal="right" vertical="center"/>
    </xf>
    <xf numFmtId="0" fontId="28" fillId="0" borderId="25" xfId="0" applyFont="1" applyFill="1" applyBorder="1" applyAlignment="1">
      <alignment horizontal="justify" vertical="center" wrapText="1"/>
    </xf>
    <xf numFmtId="9" fontId="20" fillId="0" borderId="25" xfId="1" applyFont="1" applyFill="1" applyBorder="1" applyAlignment="1">
      <alignment horizontal="justify" vertical="center" wrapText="1"/>
    </xf>
    <xf numFmtId="42" fontId="20" fillId="0" borderId="25" xfId="1" applyNumberFormat="1" applyFont="1" applyFill="1" applyBorder="1" applyAlignment="1">
      <alignment horizontal="right" vertical="center"/>
    </xf>
    <xf numFmtId="0" fontId="20" fillId="0" borderId="25" xfId="0" applyFont="1" applyFill="1" applyBorder="1" applyAlignment="1">
      <alignment horizontal="justify" vertical="center"/>
    </xf>
    <xf numFmtId="0" fontId="20" fillId="0" borderId="25" xfId="0" applyFont="1" applyBorder="1" applyAlignment="1">
      <alignment horizontal="right"/>
    </xf>
    <xf numFmtId="9" fontId="20" fillId="0" borderId="25" xfId="1" applyNumberFormat="1" applyFont="1" applyFill="1" applyBorder="1" applyAlignment="1">
      <alignment horizontal="right" vertical="center"/>
    </xf>
    <xf numFmtId="9" fontId="20" fillId="0" borderId="25" xfId="1" applyFont="1" applyBorder="1" applyAlignment="1">
      <alignment horizontal="right" vertical="center"/>
    </xf>
    <xf numFmtId="9" fontId="20" fillId="0" borderId="25" xfId="1" applyFont="1" applyBorder="1" applyAlignment="1">
      <alignment horizontal="justify" vertical="center"/>
    </xf>
    <xf numFmtId="0" fontId="20" fillId="0" borderId="25" xfId="0" applyFont="1" applyFill="1" applyBorder="1" applyAlignment="1">
      <alignment horizontal="right"/>
    </xf>
    <xf numFmtId="9" fontId="20" fillId="0" borderId="25" xfId="0" applyNumberFormat="1" applyFont="1" applyFill="1" applyBorder="1" applyAlignment="1">
      <alignment horizontal="right" vertical="center"/>
    </xf>
    <xf numFmtId="9" fontId="20" fillId="0" borderId="25" xfId="1" applyNumberFormat="1" applyFont="1" applyFill="1" applyBorder="1" applyAlignment="1">
      <alignment horizontal="right" vertical="center" wrapText="1"/>
    </xf>
    <xf numFmtId="9" fontId="20" fillId="0" borderId="10" xfId="1" applyNumberFormat="1" applyFont="1" applyFill="1" applyBorder="1" applyAlignment="1">
      <alignment horizontal="right" vertical="center" wrapText="1"/>
    </xf>
    <xf numFmtId="0" fontId="28" fillId="20" borderId="5" xfId="0" applyFont="1" applyFill="1" applyBorder="1" applyAlignment="1">
      <alignment horizontal="right" vertical="center"/>
    </xf>
    <xf numFmtId="0" fontId="28" fillId="20" borderId="24" xfId="0" applyFont="1" applyFill="1" applyBorder="1" applyAlignment="1">
      <alignment horizontal="justify" vertical="center" wrapText="1"/>
    </xf>
    <xf numFmtId="0" fontId="28" fillId="20" borderId="24" xfId="0" applyFont="1" applyFill="1" applyBorder="1" applyAlignment="1">
      <alignment horizontal="center" vertical="center" wrapText="1"/>
    </xf>
    <xf numFmtId="0" fontId="28" fillId="20" borderId="24" xfId="0" applyFont="1" applyFill="1" applyBorder="1" applyAlignment="1">
      <alignment horizontal="right" vertical="center"/>
    </xf>
    <xf numFmtId="0" fontId="28" fillId="20" borderId="24" xfId="0" applyFont="1" applyFill="1" applyBorder="1" applyAlignment="1">
      <alignment horizontal="center" vertical="center"/>
    </xf>
    <xf numFmtId="1" fontId="28" fillId="20" borderId="24" xfId="0" applyNumberFormat="1" applyFont="1" applyFill="1" applyBorder="1" applyAlignment="1">
      <alignment horizontal="right" vertical="center"/>
    </xf>
    <xf numFmtId="0" fontId="28" fillId="20" borderId="24" xfId="0" applyFont="1" applyFill="1" applyBorder="1" applyAlignment="1">
      <alignment horizontal="justify" vertical="center"/>
    </xf>
    <xf numFmtId="42" fontId="28" fillId="20" borderId="24" xfId="5" applyFont="1" applyFill="1" applyBorder="1" applyAlignment="1">
      <alignment horizontal="right" vertical="center"/>
    </xf>
    <xf numFmtId="9" fontId="28" fillId="20" borderId="24" xfId="1" applyFont="1" applyFill="1" applyBorder="1" applyAlignment="1">
      <alignment horizontal="right" vertical="center"/>
    </xf>
    <xf numFmtId="42"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xf>
    <xf numFmtId="9" fontId="28" fillId="20" borderId="24" xfId="1" applyFont="1" applyFill="1" applyBorder="1" applyAlignment="1">
      <alignment horizontal="center" vertical="center" wrapText="1"/>
    </xf>
    <xf numFmtId="9" fontId="28" fillId="20" borderId="24" xfId="1" applyNumberFormat="1" applyFont="1" applyFill="1" applyBorder="1" applyAlignment="1">
      <alignment horizontal="justify" vertical="center"/>
    </xf>
    <xf numFmtId="0" fontId="28" fillId="20" borderId="24" xfId="0" applyFont="1" applyFill="1" applyBorder="1"/>
    <xf numFmtId="0" fontId="28" fillId="20" borderId="24" xfId="0" applyFont="1" applyFill="1" applyBorder="1" applyAlignment="1">
      <alignment horizontal="right"/>
    </xf>
    <xf numFmtId="9"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wrapText="1"/>
    </xf>
    <xf numFmtId="9" fontId="28" fillId="20" borderId="6" xfId="1" applyNumberFormat="1" applyFont="1" applyFill="1" applyBorder="1" applyAlignment="1">
      <alignment horizontal="right" vertical="center" wrapText="1"/>
    </xf>
    <xf numFmtId="0" fontId="28" fillId="20" borderId="7" xfId="0" applyFont="1" applyFill="1" applyBorder="1" applyAlignment="1">
      <alignment horizontal="right" vertical="center"/>
    </xf>
    <xf numFmtId="9" fontId="28" fillId="3" borderId="8" xfId="1" applyNumberFormat="1" applyFont="1" applyFill="1" applyBorder="1" applyAlignment="1">
      <alignment horizontal="right" vertical="center" wrapText="1"/>
    </xf>
    <xf numFmtId="9" fontId="28" fillId="15" borderId="8" xfId="1" applyNumberFormat="1" applyFont="1" applyFill="1" applyBorder="1" applyAlignment="1">
      <alignment horizontal="right" vertical="center" wrapText="1"/>
    </xf>
    <xf numFmtId="0" fontId="28" fillId="0" borderId="9" xfId="0" applyFont="1" applyFill="1" applyBorder="1" applyAlignment="1">
      <alignment horizontal="right" vertical="center"/>
    </xf>
    <xf numFmtId="0" fontId="28" fillId="0" borderId="25" xfId="0" applyFont="1" applyFill="1" applyBorder="1" applyAlignment="1">
      <alignment horizontal="center" vertical="center" wrapText="1"/>
    </xf>
    <xf numFmtId="0" fontId="28" fillId="0" borderId="25" xfId="0" applyFont="1" applyFill="1" applyBorder="1" applyAlignment="1">
      <alignment horizontal="right" vertical="center"/>
    </xf>
    <xf numFmtId="0" fontId="82" fillId="0" borderId="25" xfId="0" applyFont="1" applyFill="1" applyBorder="1" applyAlignment="1">
      <alignment horizontal="justify" vertical="center" wrapText="1"/>
    </xf>
    <xf numFmtId="0" fontId="28" fillId="0" borderId="25" xfId="0" applyFont="1" applyFill="1" applyBorder="1" applyAlignment="1">
      <alignment horizontal="center" vertical="center"/>
    </xf>
    <xf numFmtId="1" fontId="82" fillId="0" borderId="25" xfId="0" applyNumberFormat="1" applyFont="1" applyFill="1" applyBorder="1" applyAlignment="1">
      <alignment horizontal="right" vertical="center"/>
    </xf>
    <xf numFmtId="0" fontId="28" fillId="0" borderId="25" xfId="0" applyFont="1" applyFill="1" applyBorder="1" applyAlignment="1">
      <alignment horizontal="justify" vertical="center"/>
    </xf>
    <xf numFmtId="42" fontId="28" fillId="0" borderId="25" xfId="5" applyFont="1" applyFill="1" applyBorder="1" applyAlignment="1">
      <alignment horizontal="right" vertical="center"/>
    </xf>
    <xf numFmtId="42" fontId="28" fillId="0" borderId="25" xfId="0" applyNumberFormat="1" applyFont="1" applyFill="1" applyBorder="1" applyAlignment="1">
      <alignment horizontal="right" vertical="center"/>
    </xf>
    <xf numFmtId="1" fontId="28" fillId="0" borderId="25" xfId="1" applyNumberFormat="1" applyFont="1" applyFill="1" applyBorder="1" applyAlignment="1">
      <alignment horizontal="right" vertical="center"/>
    </xf>
    <xf numFmtId="0" fontId="28" fillId="0" borderId="25" xfId="0" applyFont="1" applyBorder="1" applyAlignment="1">
      <alignment horizontal="center" vertical="center"/>
    </xf>
    <xf numFmtId="42" fontId="28" fillId="0" borderId="25" xfId="5" applyFont="1" applyBorder="1" applyAlignment="1">
      <alignment horizontal="right" vertical="center"/>
    </xf>
    <xf numFmtId="9" fontId="28" fillId="0" borderId="25" xfId="1" applyNumberFormat="1" applyFont="1" applyFill="1" applyBorder="1" applyAlignment="1">
      <alignment horizontal="right" vertical="center"/>
    </xf>
    <xf numFmtId="9" fontId="28" fillId="0" borderId="25" xfId="1" applyFont="1" applyBorder="1" applyAlignment="1">
      <alignment horizontal="left" vertical="center" wrapText="1"/>
    </xf>
    <xf numFmtId="0" fontId="87" fillId="0" borderId="25" xfId="0" applyFont="1" applyFill="1" applyBorder="1" applyAlignment="1">
      <alignment horizontal="center" vertical="center"/>
    </xf>
    <xf numFmtId="174" fontId="28" fillId="0" borderId="25" xfId="0" applyNumberFormat="1" applyFont="1" applyFill="1" applyBorder="1" applyAlignment="1">
      <alignment horizontal="right" vertical="center"/>
    </xf>
    <xf numFmtId="9" fontId="87" fillId="0" borderId="25" xfId="1" applyFont="1" applyBorder="1" applyAlignment="1">
      <alignment horizontal="justify" vertical="center" wrapText="1"/>
    </xf>
    <xf numFmtId="0" fontId="28" fillId="0" borderId="25" xfId="0" applyFont="1" applyFill="1" applyBorder="1"/>
    <xf numFmtId="0" fontId="28" fillId="0" borderId="25" xfId="0" applyFont="1" applyFill="1" applyBorder="1" applyAlignment="1">
      <alignment horizontal="right"/>
    </xf>
    <xf numFmtId="9" fontId="28" fillId="0" borderId="25" xfId="0" applyNumberFormat="1" applyFont="1" applyFill="1" applyBorder="1" applyAlignment="1">
      <alignment horizontal="right" vertical="center"/>
    </xf>
    <xf numFmtId="9" fontId="28" fillId="15" borderId="25" xfId="1" applyNumberFormat="1" applyFont="1" applyFill="1" applyBorder="1" applyAlignment="1">
      <alignment horizontal="right" vertical="center" wrapText="1"/>
    </xf>
    <xf numFmtId="9" fontId="28" fillId="15" borderId="10" xfId="1" applyNumberFormat="1" applyFont="1" applyFill="1" applyBorder="1" applyAlignment="1">
      <alignment horizontal="right" vertical="center" wrapText="1"/>
    </xf>
    <xf numFmtId="0" fontId="28" fillId="0" borderId="74" xfId="0" applyFont="1" applyFill="1" applyBorder="1" applyAlignment="1">
      <alignment horizontal="justify" vertical="center" wrapText="1"/>
    </xf>
    <xf numFmtId="1" fontId="28" fillId="0" borderId="1" xfId="1" applyNumberFormat="1" applyFont="1" applyFill="1" applyBorder="1" applyAlignment="1">
      <alignment horizontal="center" vertical="center"/>
    </xf>
    <xf numFmtId="167" fontId="20" fillId="0" borderId="1" xfId="3" applyNumberFormat="1" applyFont="1" applyFill="1" applyBorder="1" applyAlignment="1">
      <alignment horizontal="center" vertical="center"/>
    </xf>
    <xf numFmtId="166"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wrapText="1"/>
    </xf>
    <xf numFmtId="1" fontId="28" fillId="0" borderId="1" xfId="0" applyNumberFormat="1" applyFont="1" applyFill="1" applyBorder="1" applyAlignment="1">
      <alignment horizontal="center" vertical="center" wrapText="1"/>
    </xf>
    <xf numFmtId="49" fontId="28" fillId="0" borderId="1" xfId="1" applyNumberFormat="1" applyFont="1" applyFill="1" applyBorder="1" applyAlignment="1">
      <alignment horizontal="justify" vertical="center"/>
    </xf>
    <xf numFmtId="9" fontId="28" fillId="20" borderId="1" xfId="1" applyNumberFormat="1" applyFont="1" applyFill="1" applyBorder="1" applyAlignment="1">
      <alignment horizontal="justify" vertical="center" wrapText="1"/>
    </xf>
    <xf numFmtId="9" fontId="28" fillId="21" borderId="1" xfId="1" applyNumberFormat="1" applyFont="1" applyFill="1" applyBorder="1" applyAlignment="1">
      <alignment horizontal="justify" vertical="center"/>
    </xf>
    <xf numFmtId="0" fontId="42" fillId="16" borderId="13" xfId="0" applyFont="1" applyFill="1" applyBorder="1" applyAlignment="1">
      <alignment horizontal="center" vertical="center" wrapText="1"/>
    </xf>
    <xf numFmtId="0" fontId="42" fillId="16" borderId="26" xfId="0" applyFont="1" applyFill="1" applyBorder="1" applyAlignment="1">
      <alignment horizontal="center" vertical="center" wrapText="1"/>
    </xf>
    <xf numFmtId="0" fontId="42" fillId="16" borderId="27" xfId="0" applyFont="1" applyFill="1" applyBorder="1" applyAlignment="1">
      <alignment horizontal="center" vertical="center" wrapText="1"/>
    </xf>
    <xf numFmtId="0" fontId="37" fillId="16" borderId="22" xfId="0" applyFont="1" applyFill="1" applyBorder="1" applyAlignment="1">
      <alignment horizontal="center" vertical="center" wrapText="1"/>
    </xf>
    <xf numFmtId="42" fontId="28" fillId="0" borderId="1" xfId="5" applyFont="1" applyBorder="1" applyAlignment="1">
      <alignment vertical="center"/>
    </xf>
    <xf numFmtId="10" fontId="28" fillId="0" borderId="1" xfId="0" applyNumberFormat="1" applyFont="1" applyBorder="1" applyAlignment="1">
      <alignment vertical="center" wrapText="1"/>
    </xf>
    <xf numFmtId="9" fontId="28" fillId="0" borderId="1" xfId="0" applyNumberFormat="1" applyFont="1" applyBorder="1" applyAlignment="1">
      <alignment vertical="center" wrapText="1"/>
    </xf>
    <xf numFmtId="0" fontId="2" fillId="0" borderId="1" xfId="0" applyFont="1" applyBorder="1" applyAlignment="1">
      <alignment horizontal="justify" vertical="center"/>
    </xf>
    <xf numFmtId="0" fontId="0" fillId="0" borderId="1" xfId="0" applyBorder="1" applyAlignment="1">
      <alignment vertical="center"/>
    </xf>
    <xf numFmtId="42" fontId="28" fillId="0" borderId="24" xfId="5" applyFont="1" applyFill="1" applyBorder="1" applyAlignment="1">
      <alignment horizontal="right" vertical="center" wrapText="1"/>
    </xf>
    <xf numFmtId="42" fontId="28" fillId="0" borderId="24" xfId="0" applyNumberFormat="1" applyFont="1" applyFill="1" applyBorder="1" applyAlignment="1">
      <alignment horizontal="right" vertical="center"/>
    </xf>
    <xf numFmtId="42" fontId="28" fillId="0" borderId="24" xfId="5" applyFont="1" applyFill="1" applyBorder="1" applyAlignment="1">
      <alignment horizontal="right" vertical="center"/>
    </xf>
    <xf numFmtId="0" fontId="28" fillId="0" borderId="24" xfId="0" applyFont="1" applyBorder="1" applyAlignment="1">
      <alignment horizontal="right" vertical="center"/>
    </xf>
    <xf numFmtId="42" fontId="28" fillId="0" borderId="24" xfId="5" applyFont="1" applyBorder="1" applyAlignment="1">
      <alignment horizontal="right" vertical="center"/>
    </xf>
    <xf numFmtId="9" fontId="28" fillId="0" borderId="24" xfId="1" applyFont="1" applyBorder="1" applyAlignment="1">
      <alignment horizontal="justify" vertical="center"/>
    </xf>
    <xf numFmtId="9" fontId="28" fillId="0" borderId="24" xfId="1" applyNumberFormat="1" applyFont="1" applyFill="1" applyBorder="1" applyAlignment="1">
      <alignment horizontal="justify" vertical="center"/>
    </xf>
    <xf numFmtId="9" fontId="28" fillId="0" borderId="6"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0" fontId="28" fillId="21" borderId="7" xfId="0" applyFont="1" applyFill="1" applyBorder="1" applyAlignment="1">
      <alignment horizontal="right" vertical="center"/>
    </xf>
    <xf numFmtId="0" fontId="82" fillId="0" borderId="7" xfId="0" applyFont="1" applyFill="1" applyBorder="1" applyAlignment="1">
      <alignment horizontal="right" vertical="center"/>
    </xf>
    <xf numFmtId="0" fontId="0" fillId="0" borderId="25" xfId="0" applyBorder="1" applyAlignment="1">
      <alignment vertical="center"/>
    </xf>
    <xf numFmtId="0" fontId="82" fillId="0" borderId="25" xfId="1" applyNumberFormat="1" applyFont="1" applyFill="1" applyBorder="1" applyAlignment="1">
      <alignment horizontal="right" vertical="center"/>
    </xf>
    <xf numFmtId="42" fontId="84" fillId="0" borderId="25" xfId="5" applyFont="1" applyFill="1" applyBorder="1" applyAlignment="1">
      <alignment vertical="center"/>
    </xf>
    <xf numFmtId="0" fontId="28" fillId="20" borderId="25" xfId="0" applyFont="1" applyFill="1" applyBorder="1" applyAlignment="1">
      <alignment horizontal="justify" vertical="center" wrapText="1"/>
    </xf>
    <xf numFmtId="42" fontId="28" fillId="0" borderId="25" xfId="5" applyFont="1" applyFill="1" applyBorder="1" applyAlignment="1">
      <alignment horizontal="right" vertical="center" wrapText="1"/>
    </xf>
    <xf numFmtId="9" fontId="28" fillId="0" borderId="25" xfId="1" applyNumberFormat="1" applyFont="1" applyFill="1" applyBorder="1" applyAlignment="1">
      <alignment horizontal="left" vertical="center" wrapText="1"/>
    </xf>
    <xf numFmtId="0" fontId="28" fillId="0" borderId="25" xfId="1" applyNumberFormat="1" applyFont="1" applyFill="1" applyBorder="1" applyAlignment="1">
      <alignment horizontal="right" vertical="center"/>
    </xf>
    <xf numFmtId="9" fontId="28" fillId="0" borderId="25" xfId="1" applyNumberFormat="1" applyFont="1" applyFill="1" applyBorder="1" applyAlignment="1">
      <alignment horizontal="justify" vertical="center"/>
    </xf>
    <xf numFmtId="1" fontId="82" fillId="0" borderId="25" xfId="3" applyNumberFormat="1" applyFont="1" applyFill="1" applyBorder="1" applyAlignment="1">
      <alignment horizontal="right" vertical="center"/>
    </xf>
    <xf numFmtId="0"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wrapText="1"/>
    </xf>
    <xf numFmtId="9" fontId="28" fillId="0" borderId="10" xfId="1" applyNumberFormat="1" applyFont="1" applyFill="1" applyBorder="1" applyAlignment="1">
      <alignment horizontal="right" vertical="center" wrapText="1"/>
    </xf>
    <xf numFmtId="1" fontId="28" fillId="0" borderId="1" xfId="0" applyNumberFormat="1" applyFont="1" applyFill="1" applyBorder="1" applyAlignment="1">
      <alignment horizontal="center" vertical="center"/>
    </xf>
    <xf numFmtId="9" fontId="28" fillId="0" borderId="18" xfId="1" applyNumberFormat="1" applyFont="1" applyFill="1" applyBorder="1" applyAlignment="1">
      <alignment vertical="center"/>
    </xf>
    <xf numFmtId="173" fontId="28" fillId="0" borderId="18" xfId="1" applyNumberFormat="1" applyFont="1" applyBorder="1" applyAlignment="1">
      <alignment horizontal="right" vertical="center"/>
    </xf>
    <xf numFmtId="9" fontId="28" fillId="0" borderId="18" xfId="1" applyFont="1" applyBorder="1" applyAlignment="1">
      <alignment horizontal="justify" vertical="top" wrapText="1"/>
    </xf>
    <xf numFmtId="9" fontId="28" fillId="20" borderId="24" xfId="1" applyNumberFormat="1" applyFont="1" applyFill="1" applyBorder="1" applyAlignment="1">
      <alignment vertical="center"/>
    </xf>
    <xf numFmtId="173" fontId="28" fillId="20" borderId="24" xfId="1" applyNumberFormat="1" applyFont="1" applyFill="1" applyBorder="1" applyAlignment="1">
      <alignment horizontal="right" vertical="center"/>
    </xf>
    <xf numFmtId="9" fontId="28" fillId="20" borderId="24" xfId="1" applyFont="1" applyFill="1" applyBorder="1" applyAlignment="1">
      <alignment horizontal="justify" vertical="top" wrapText="1"/>
    </xf>
    <xf numFmtId="9" fontId="28" fillId="20" borderId="24" xfId="0" applyNumberFormat="1" applyFont="1" applyFill="1" applyBorder="1" applyAlignment="1">
      <alignment horizontal="center" vertical="center"/>
    </xf>
    <xf numFmtId="9" fontId="28" fillId="20" borderId="24" xfId="1" applyNumberFormat="1" applyFont="1" applyFill="1" applyBorder="1" applyAlignment="1">
      <alignment horizontal="justify" vertical="center" wrapText="1"/>
    </xf>
    <xf numFmtId="42" fontId="20" fillId="20" borderId="0" xfId="0" applyNumberFormat="1" applyFont="1" applyFill="1"/>
    <xf numFmtId="9" fontId="82" fillId="0" borderId="18" xfId="1" applyNumberFormat="1" applyFont="1" applyFill="1" applyBorder="1" applyAlignment="1">
      <alignment vertical="center"/>
    </xf>
    <xf numFmtId="9" fontId="82" fillId="0" borderId="18" xfId="1" applyFont="1" applyFill="1" applyBorder="1" applyAlignment="1">
      <alignment horizontal="right" vertical="center"/>
    </xf>
    <xf numFmtId="9" fontId="28" fillId="20" borderId="18" xfId="1" applyNumberFormat="1" applyFont="1" applyFill="1" applyBorder="1" applyAlignment="1">
      <alignment horizontal="justify" vertical="center" wrapText="1"/>
    </xf>
    <xf numFmtId="9" fontId="28" fillId="20" borderId="18"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wrapText="1"/>
    </xf>
    <xf numFmtId="9" fontId="82" fillId="0" borderId="18" xfId="0" applyNumberFormat="1" applyFont="1" applyFill="1" applyBorder="1" applyAlignment="1">
      <alignment horizontal="right" vertical="center"/>
    </xf>
    <xf numFmtId="9" fontId="28" fillId="20" borderId="18" xfId="0" applyNumberFormat="1" applyFont="1" applyFill="1" applyBorder="1" applyAlignment="1">
      <alignment horizontal="right" vertical="center"/>
    </xf>
    <xf numFmtId="9" fontId="28" fillId="20" borderId="18" xfId="1" applyNumberFormat="1" applyFont="1" applyFill="1" applyBorder="1" applyAlignment="1">
      <alignment vertical="center"/>
    </xf>
    <xf numFmtId="9" fontId="28" fillId="20" borderId="18" xfId="1" applyFont="1" applyFill="1" applyBorder="1" applyAlignment="1">
      <alignment horizontal="justify" vertical="top" wrapText="1"/>
    </xf>
    <xf numFmtId="9" fontId="28" fillId="20" borderId="18" xfId="0" applyNumberFormat="1" applyFont="1" applyFill="1" applyBorder="1" applyAlignment="1">
      <alignment horizontal="center" vertical="center"/>
    </xf>
    <xf numFmtId="0" fontId="28" fillId="20" borderId="18" xfId="0" applyFont="1" applyFill="1" applyBorder="1" applyAlignment="1">
      <alignment horizontal="right"/>
    </xf>
    <xf numFmtId="1" fontId="28" fillId="20" borderId="18" xfId="1" applyNumberFormat="1" applyFont="1" applyFill="1" applyBorder="1" applyAlignment="1">
      <alignment horizontal="right" vertical="center"/>
    </xf>
    <xf numFmtId="0" fontId="28" fillId="20" borderId="13" xfId="0" applyFont="1" applyFill="1" applyBorder="1" applyAlignment="1">
      <alignment horizontal="right" vertical="center"/>
    </xf>
    <xf numFmtId="0" fontId="28" fillId="20" borderId="26" xfId="0" applyFont="1" applyFill="1" applyBorder="1" applyAlignment="1">
      <alignment horizontal="justify" vertical="center" wrapText="1"/>
    </xf>
    <xf numFmtId="0" fontId="28" fillId="20" borderId="26" xfId="0" applyFont="1" applyFill="1" applyBorder="1" applyAlignment="1">
      <alignment horizontal="center" vertical="center" wrapText="1"/>
    </xf>
    <xf numFmtId="0" fontId="28" fillId="20" borderId="26" xfId="0" applyFont="1" applyFill="1" applyBorder="1" applyAlignment="1">
      <alignment horizontal="right" vertical="center"/>
    </xf>
    <xf numFmtId="172" fontId="59" fillId="13" borderId="37" xfId="1" applyNumberFormat="1" applyFont="1" applyFill="1" applyBorder="1" applyAlignment="1">
      <alignment horizontal="right" vertical="center"/>
    </xf>
    <xf numFmtId="9" fontId="59" fillId="13" borderId="37" xfId="1" applyNumberFormat="1" applyFont="1" applyFill="1" applyBorder="1" applyAlignment="1">
      <alignment horizontal="right" vertical="center"/>
    </xf>
    <xf numFmtId="0" fontId="28" fillId="20" borderId="0" xfId="0" applyFont="1" applyFill="1" applyAlignment="1">
      <alignment horizontal="center" vertical="center"/>
    </xf>
    <xf numFmtId="6" fontId="28" fillId="20" borderId="1" xfId="0" applyNumberFormat="1" applyFont="1" applyFill="1" applyBorder="1" applyAlignment="1">
      <alignment horizontal="right" vertical="center"/>
    </xf>
    <xf numFmtId="9" fontId="82" fillId="20" borderId="1" xfId="0" applyNumberFormat="1" applyFont="1" applyFill="1" applyBorder="1" applyAlignment="1">
      <alignment horizontal="right" vertical="center"/>
    </xf>
    <xf numFmtId="9" fontId="82" fillId="0" borderId="1" xfId="1" applyFont="1" applyFill="1" applyBorder="1" applyAlignment="1">
      <alignment horizontal="right" vertical="center"/>
    </xf>
    <xf numFmtId="9" fontId="53" fillId="13" borderId="31" xfId="1" applyFont="1" applyFill="1" applyBorder="1" applyAlignment="1">
      <alignment horizontal="right" vertical="center"/>
    </xf>
    <xf numFmtId="176" fontId="58" fillId="13" borderId="18" xfId="1" applyNumberFormat="1" applyFont="1" applyFill="1" applyBorder="1" applyAlignment="1">
      <alignment horizontal="right" vertical="center"/>
    </xf>
    <xf numFmtId="176" fontId="58" fillId="13" borderId="16" xfId="1" applyNumberFormat="1" applyFont="1" applyFill="1" applyBorder="1" applyAlignment="1">
      <alignment horizontal="right" vertical="center"/>
    </xf>
    <xf numFmtId="176" fontId="58" fillId="13" borderId="67" xfId="1" applyNumberFormat="1" applyFont="1" applyFill="1" applyBorder="1" applyAlignment="1">
      <alignment horizontal="right" vertical="center"/>
    </xf>
    <xf numFmtId="176" fontId="58" fillId="18" borderId="54" xfId="1" applyNumberFormat="1" applyFont="1" applyFill="1" applyBorder="1" applyAlignment="1">
      <alignment horizontal="right" vertical="center"/>
    </xf>
    <xf numFmtId="176" fontId="58" fillId="18" borderId="8" xfId="1" applyNumberFormat="1" applyFont="1" applyFill="1" applyBorder="1" applyAlignment="1">
      <alignment horizontal="right" vertical="center"/>
    </xf>
    <xf numFmtId="9" fontId="53" fillId="13" borderId="42" xfId="1" applyNumberFormat="1" applyFont="1" applyFill="1" applyBorder="1" applyAlignment="1">
      <alignment horizontal="right" vertical="center"/>
    </xf>
    <xf numFmtId="9" fontId="53" fillId="13" borderId="31" xfId="1" applyNumberFormat="1" applyFont="1" applyFill="1" applyBorder="1" applyAlignment="1">
      <alignment horizontal="right" vertical="center"/>
    </xf>
    <xf numFmtId="0" fontId="45" fillId="0" borderId="0" xfId="0" applyFont="1" applyAlignment="1">
      <alignment horizontal="right"/>
    </xf>
    <xf numFmtId="42" fontId="28" fillId="0" borderId="1" xfId="5" applyFont="1" applyFill="1" applyBorder="1" applyAlignment="1">
      <alignment horizontal="right" vertical="center"/>
    </xf>
    <xf numFmtId="0" fontId="28" fillId="0" borderId="1" xfId="0" applyNumberFormat="1" applyFont="1" applyFill="1" applyBorder="1" applyAlignment="1">
      <alignment horizontal="right" vertical="center"/>
    </xf>
    <xf numFmtId="0" fontId="82" fillId="0" borderId="1" xfId="1" applyNumberFormat="1" applyFont="1" applyFill="1" applyBorder="1" applyAlignment="1">
      <alignment horizontal="right" vertical="center"/>
    </xf>
    <xf numFmtId="9" fontId="28" fillId="0" borderId="18" xfId="1" applyNumberFormat="1" applyFont="1" applyFill="1" applyBorder="1" applyAlignment="1">
      <alignment horizontal="justify" vertical="center" wrapText="1"/>
    </xf>
    <xf numFmtId="42" fontId="28" fillId="0" borderId="18" xfId="5" applyFont="1" applyFill="1" applyBorder="1" applyAlignment="1">
      <alignment horizontal="right" vertical="center"/>
    </xf>
    <xf numFmtId="0" fontId="44" fillId="0" borderId="18" xfId="0" applyFont="1" applyFill="1" applyBorder="1" applyAlignment="1">
      <alignment vertical="center" wrapText="1"/>
    </xf>
    <xf numFmtId="0" fontId="44" fillId="0" borderId="18" xfId="0" applyFont="1" applyBorder="1" applyAlignment="1">
      <alignment vertical="center" wrapText="1"/>
    </xf>
    <xf numFmtId="9" fontId="74" fillId="13" borderId="38" xfId="1" applyFont="1" applyFill="1" applyBorder="1" applyAlignment="1">
      <alignment horizontal="center" vertical="center"/>
    </xf>
    <xf numFmtId="9" fontId="28" fillId="0" borderId="1" xfId="1" applyNumberFormat="1" applyFont="1" applyFill="1" applyBorder="1" applyAlignment="1">
      <alignment horizontal="right" vertical="center"/>
    </xf>
    <xf numFmtId="0" fontId="0" fillId="0" borderId="1" xfId="0" applyBorder="1" applyAlignment="1">
      <alignment horizontal="center" vertical="center"/>
    </xf>
    <xf numFmtId="10" fontId="28" fillId="0" borderId="1" xfId="1" applyNumberFormat="1" applyFont="1" applyFill="1" applyBorder="1" applyAlignment="1">
      <alignment horizontal="right" vertical="center"/>
    </xf>
    <xf numFmtId="9" fontId="58" fillId="13" borderId="18" xfId="1" applyFont="1" applyFill="1" applyBorder="1" applyAlignment="1">
      <alignment horizontal="right" vertical="center"/>
    </xf>
    <xf numFmtId="0" fontId="37" fillId="16" borderId="5"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24" xfId="0" applyFont="1" applyFill="1" applyBorder="1" applyAlignment="1">
      <alignment horizontal="center" vertical="center" wrapText="1"/>
    </xf>
    <xf numFmtId="0" fontId="37" fillId="16" borderId="4" xfId="0" applyFont="1" applyFill="1" applyBorder="1" applyAlignment="1">
      <alignment horizontal="center" vertical="center" wrapText="1"/>
    </xf>
    <xf numFmtId="9" fontId="28" fillId="0" borderId="24" xfId="1" applyNumberFormat="1" applyFont="1" applyFill="1" applyBorder="1" applyAlignment="1">
      <alignment horizontal="center" vertical="center"/>
    </xf>
    <xf numFmtId="9" fontId="28" fillId="0" borderId="18" xfId="1" applyNumberFormat="1" applyFont="1" applyFill="1" applyBorder="1" applyAlignment="1">
      <alignment horizontal="center" vertical="center"/>
    </xf>
    <xf numFmtId="9" fontId="28" fillId="0" borderId="1" xfId="1" applyNumberFormat="1" applyFont="1" applyFill="1" applyBorder="1" applyAlignment="1">
      <alignment horizontal="center" vertical="center"/>
    </xf>
    <xf numFmtId="0" fontId="37" fillId="16" borderId="57" xfId="0" applyFont="1" applyFill="1" applyBorder="1" applyAlignment="1">
      <alignment horizontal="center" vertical="center" wrapText="1"/>
    </xf>
    <xf numFmtId="0" fontId="37" fillId="16" borderId="0" xfId="0" applyFont="1" applyFill="1" applyBorder="1" applyAlignment="1">
      <alignment horizontal="center" vertical="center" wrapText="1"/>
    </xf>
    <xf numFmtId="9" fontId="28" fillId="0" borderId="1" xfId="0" applyNumberFormat="1" applyFont="1" applyFill="1" applyBorder="1" applyAlignment="1">
      <alignment horizontal="right" vertical="center"/>
    </xf>
    <xf numFmtId="0" fontId="43" fillId="16" borderId="24" xfId="0" applyFont="1" applyFill="1" applyBorder="1" applyAlignment="1">
      <alignment horizontal="center" vertical="center" wrapText="1"/>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center"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82" fillId="0" borderId="24" xfId="0" applyFont="1" applyFill="1" applyBorder="1" applyAlignment="1">
      <alignment horizontal="justify" vertical="center" wrapText="1"/>
    </xf>
    <xf numFmtId="0" fontId="82" fillId="0" borderId="18" xfId="0" applyFont="1" applyFill="1" applyBorder="1" applyAlignment="1">
      <alignment horizontal="justify" vertical="center" wrapText="1"/>
    </xf>
    <xf numFmtId="0" fontId="82" fillId="0" borderId="1"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24" xfId="0" applyFont="1" applyFill="1" applyBorder="1" applyAlignment="1">
      <alignment horizontal="right" vertical="center"/>
    </xf>
    <xf numFmtId="0" fontId="28" fillId="0" borderId="18" xfId="0" applyFont="1" applyFill="1" applyBorder="1" applyAlignment="1">
      <alignment horizontal="righ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8" fillId="0" borderId="1" xfId="0" applyFont="1" applyFill="1" applyBorder="1" applyAlignment="1">
      <alignment horizontal="right"/>
    </xf>
    <xf numFmtId="42" fontId="28" fillId="0" borderId="1" xfId="5" applyFont="1" applyFill="1" applyBorder="1" applyAlignment="1">
      <alignment horizontal="center"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9" fontId="28" fillId="0" borderId="2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6" xfId="1" applyNumberFormat="1" applyFont="1" applyFill="1" applyBorder="1" applyAlignment="1">
      <alignment horizontal="center" vertical="center" wrapText="1"/>
    </xf>
    <xf numFmtId="9" fontId="28" fillId="0" borderId="16" xfId="1" applyNumberFormat="1" applyFont="1" applyFill="1" applyBorder="1" applyAlignment="1">
      <alignment horizontal="center" vertical="center" wrapText="1"/>
    </xf>
    <xf numFmtId="9" fontId="28" fillId="0" borderId="8" xfId="1" applyNumberFormat="1" applyFont="1" applyFill="1" applyBorder="1" applyAlignment="1">
      <alignment horizontal="center" vertical="center" wrapText="1"/>
    </xf>
    <xf numFmtId="42" fontId="28" fillId="0" borderId="24" xfId="5" applyFont="1" applyFill="1" applyBorder="1" applyAlignment="1">
      <alignment horizontal="center" vertical="center"/>
    </xf>
    <xf numFmtId="42" fontId="28" fillId="0" borderId="18" xfId="5" applyFont="1" applyFill="1" applyBorder="1" applyAlignment="1">
      <alignment horizontal="center" vertical="center"/>
    </xf>
    <xf numFmtId="0" fontId="28" fillId="0" borderId="1" xfId="0" applyFont="1" applyFill="1" applyBorder="1" applyAlignment="1">
      <alignment horizontal="center"/>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37" fillId="16" borderId="6" xfId="0" applyFont="1" applyFill="1" applyBorder="1" applyAlignment="1">
      <alignment horizontal="center" vertical="center" wrapText="1"/>
    </xf>
    <xf numFmtId="0" fontId="37" fillId="16" borderId="12" xfId="0" applyFont="1" applyFill="1" applyBorder="1" applyAlignment="1">
      <alignment horizontal="center" vertical="center" wrapText="1"/>
    </xf>
    <xf numFmtId="0" fontId="20" fillId="0" borderId="0" xfId="0" applyFont="1" applyAlignment="1">
      <alignment horizontal="left" wrapText="1"/>
    </xf>
    <xf numFmtId="0" fontId="28" fillId="0" borderId="2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 xfId="0" applyFont="1" applyFill="1" applyBorder="1" applyAlignment="1">
      <alignment horizontal="center" vertical="center" wrapText="1"/>
    </xf>
    <xf numFmtId="42" fontId="28" fillId="0" borderId="24" xfId="0" applyNumberFormat="1" applyFont="1" applyFill="1" applyBorder="1" applyAlignment="1">
      <alignment horizontal="center" vertical="center"/>
    </xf>
    <xf numFmtId="42" fontId="28" fillId="0" borderId="18" xfId="0" applyNumberFormat="1" applyFont="1" applyFill="1" applyBorder="1" applyAlignment="1">
      <alignment horizontal="center" vertical="center"/>
    </xf>
    <xf numFmtId="42" fontId="28" fillId="0" borderId="1" xfId="0" applyNumberFormat="1" applyFont="1" applyFill="1" applyBorder="1" applyAlignment="1">
      <alignment horizontal="center" vertical="center"/>
    </xf>
    <xf numFmtId="42" fontId="28" fillId="0" borderId="24" xfId="5" applyFont="1" applyBorder="1" applyAlignment="1">
      <alignment horizontal="center" vertical="center"/>
    </xf>
    <xf numFmtId="42" fontId="28" fillId="0" borderId="18" xfId="5" applyFont="1" applyBorder="1" applyAlignment="1">
      <alignment horizontal="center" vertical="center"/>
    </xf>
    <xf numFmtId="42" fontId="28" fillId="0" borderId="1" xfId="5" applyFont="1" applyBorder="1" applyAlignment="1">
      <alignment horizontal="center" vertical="center"/>
    </xf>
    <xf numFmtId="0" fontId="82" fillId="0" borderId="24" xfId="0" applyFont="1" applyFill="1" applyBorder="1" applyAlignment="1">
      <alignment horizontal="center" vertical="center" wrapText="1"/>
    </xf>
    <xf numFmtId="0" fontId="82" fillId="0" borderId="18" xfId="0" applyFont="1" applyFill="1" applyBorder="1" applyAlignment="1">
      <alignment horizontal="center" vertical="center" wrapText="1"/>
    </xf>
    <xf numFmtId="0" fontId="82" fillId="0" borderId="1" xfId="0" applyFont="1" applyFill="1" applyBorder="1" applyAlignment="1">
      <alignment horizontal="center" vertical="center" wrapText="1"/>
    </xf>
    <xf numFmtId="42" fontId="28" fillId="0" borderId="24" xfId="5" applyFont="1" applyFill="1" applyBorder="1" applyAlignment="1">
      <alignment horizontal="center" vertical="center" wrapText="1"/>
    </xf>
    <xf numFmtId="42" fontId="28" fillId="0" borderId="18" xfId="5" applyFont="1" applyFill="1" applyBorder="1" applyAlignment="1">
      <alignment horizontal="center" vertical="center" wrapText="1"/>
    </xf>
    <xf numFmtId="42" fontId="28" fillId="0" borderId="1" xfId="5"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24" xfId="1" applyFont="1" applyFill="1" applyBorder="1" applyAlignment="1">
      <alignment horizontal="center" vertical="center"/>
    </xf>
    <xf numFmtId="9" fontId="28" fillId="0" borderId="18" xfId="1" applyFont="1" applyFill="1" applyBorder="1" applyAlignment="1">
      <alignment horizontal="center" vertical="center"/>
    </xf>
    <xf numFmtId="9" fontId="28" fillId="0" borderId="1" xfId="1" applyFont="1" applyFill="1" applyBorder="1" applyAlignment="1">
      <alignment horizontal="center" vertical="center"/>
    </xf>
    <xf numFmtId="10" fontId="28" fillId="0" borderId="1" xfId="1" applyNumberFormat="1" applyFont="1" applyFill="1" applyBorder="1" applyAlignment="1">
      <alignment horizontal="center" vertical="center"/>
    </xf>
    <xf numFmtId="42" fontId="28" fillId="0" borderId="1" xfId="5" applyFont="1" applyFill="1" applyBorder="1" applyAlignment="1">
      <alignment horizontal="right" wrapText="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42" fontId="28" fillId="0" borderId="1" xfId="5" applyFont="1" applyFill="1" applyBorder="1" applyAlignment="1">
      <alignment horizontal="right" vertical="center" wrapText="1"/>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174" fontId="28" fillId="0" borderId="1" xfId="0" applyNumberFormat="1"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42" fontId="20" fillId="0" borderId="1" xfId="5" applyFont="1" applyFill="1" applyBorder="1" applyAlignment="1">
      <alignment horizontal="right" vertical="center"/>
    </xf>
    <xf numFmtId="42" fontId="20" fillId="21" borderId="1" xfId="5"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2"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0" fontId="18" fillId="0" borderId="0" xfId="0" applyFont="1" applyAlignment="1">
      <alignment horizontal="left"/>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0" fontId="37" fillId="16" borderId="30" xfId="0" applyFont="1" applyFill="1" applyBorder="1" applyAlignment="1">
      <alignment horizontal="center" vertical="center" wrapText="1"/>
    </xf>
    <xf numFmtId="42" fontId="28" fillId="20" borderId="1" xfId="5"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2" fillId="20" borderId="1" xfId="0" applyFont="1" applyFill="1" applyBorder="1" applyAlignment="1">
      <alignment horizontal="justify" vertical="center" wrapText="1"/>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8" fontId="28" fillId="0" borderId="1" xfId="0" applyNumberFormat="1" applyFont="1" applyFill="1" applyBorder="1" applyAlignment="1">
      <alignment horizontal="right" vertic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9" fontId="28" fillId="20" borderId="8" xfId="1" applyNumberFormat="1"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0" fillId="0" borderId="1" xfId="27" applyFont="1" applyFill="1" applyBorder="1" applyAlignment="1">
      <alignment horizontal="right" vertical="center"/>
    </xf>
    <xf numFmtId="42" fontId="20" fillId="20" borderId="1" xfId="27" applyFont="1" applyFill="1" applyBorder="1" applyAlignment="1">
      <alignment horizontal="right" vertical="center"/>
    </xf>
    <xf numFmtId="42" fontId="28" fillId="0" borderId="1" xfId="5" applyFont="1" applyBorder="1" applyAlignment="1">
      <alignment horizontal="right" vertical="center"/>
    </xf>
    <xf numFmtId="42" fontId="82" fillId="0" borderId="1" xfId="5" applyFont="1" applyFill="1" applyBorder="1" applyAlignment="1">
      <alignment horizontal="center"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42" fontId="28" fillId="21" borderId="1" xfId="5" applyFont="1" applyFill="1" applyBorder="1" applyAlignment="1">
      <alignment horizontal="right" vertical="center"/>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0" fontId="28" fillId="0" borderId="1" xfId="1" applyNumberFormat="1" applyFont="1" applyFill="1" applyBorder="1" applyAlignment="1">
      <alignment horizontal="center" vertical="center"/>
    </xf>
    <xf numFmtId="0" fontId="28" fillId="21" borderId="1" xfId="1" applyNumberFormat="1" applyFont="1" applyFill="1" applyBorder="1" applyAlignment="1">
      <alignment horizontal="center" vertical="center"/>
    </xf>
    <xf numFmtId="9" fontId="28" fillId="21" borderId="1" xfId="1" applyNumberFormat="1" applyFont="1" applyFill="1" applyBorder="1" applyAlignment="1">
      <alignment horizontal="center" vertical="center"/>
    </xf>
    <xf numFmtId="42" fontId="28" fillId="21"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20" fillId="21" borderId="1" xfId="0" applyFont="1" applyFill="1" applyBorder="1" applyAlignment="1">
      <alignment horizontal="justify" vertical="center" wrapText="1"/>
    </xf>
    <xf numFmtId="0" fontId="20" fillId="0" borderId="1" xfId="0" applyFont="1" applyFill="1" applyBorder="1" applyAlignment="1">
      <alignment horizontal="justify" vertical="center"/>
    </xf>
    <xf numFmtId="0" fontId="20" fillId="21"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9" fontId="20" fillId="21" borderId="1" xfId="0" applyNumberFormat="1" applyFont="1" applyFill="1" applyBorder="1" applyAlignment="1">
      <alignment horizontal="right" vertical="center"/>
    </xf>
    <xf numFmtId="42" fontId="28" fillId="21" borderId="1" xfId="5" applyFont="1" applyFill="1" applyBorder="1" applyAlignment="1">
      <alignment horizontal="center" vertical="center"/>
    </xf>
    <xf numFmtId="42" fontId="82" fillId="0" borderId="1" xfId="0" applyNumberFormat="1" applyFont="1" applyFill="1" applyBorder="1" applyAlignment="1">
      <alignment horizontal="center" vertical="center"/>
    </xf>
    <xf numFmtId="42" fontId="28" fillId="0" borderId="1" xfId="27" applyFont="1" applyFill="1" applyBorder="1" applyAlignment="1">
      <alignment horizontal="center" vertical="center"/>
    </xf>
    <xf numFmtId="0" fontId="82" fillId="0" borderId="1" xfId="0" applyFont="1" applyFill="1" applyBorder="1" applyAlignment="1">
      <alignment horizontal="center" vertical="center"/>
    </xf>
    <xf numFmtId="0" fontId="82" fillId="0" borderId="1" xfId="1" applyNumberFormat="1" applyFont="1" applyFill="1" applyBorder="1" applyAlignment="1">
      <alignment horizontal="center" vertical="center"/>
    </xf>
    <xf numFmtId="0" fontId="82" fillId="0" borderId="1" xfId="1" applyNumberFormat="1" applyFont="1" applyFill="1" applyBorder="1" applyAlignment="1">
      <alignment horizontal="right" vertical="center"/>
    </xf>
    <xf numFmtId="42" fontId="20" fillId="0" borderId="1" xfId="5" applyFont="1" applyFill="1" applyBorder="1" applyAlignment="1">
      <alignment horizontal="center" vertical="center"/>
    </xf>
    <xf numFmtId="9" fontId="82" fillId="0" borderId="1" xfId="1" applyFont="1" applyBorder="1" applyAlignment="1">
      <alignment horizontal="center" vertical="center" wrapText="1"/>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16" xfId="1" applyFont="1" applyFill="1" applyBorder="1" applyAlignment="1">
      <alignment horizontal="center" vertical="center"/>
    </xf>
    <xf numFmtId="9" fontId="59" fillId="13" borderId="11" xfId="1" applyFont="1" applyFill="1" applyBorder="1" applyAlignment="1">
      <alignment horizontal="center" vertical="center"/>
    </xf>
    <xf numFmtId="9" fontId="59" fillId="13" borderId="14" xfId="1" applyFont="1" applyFill="1" applyBorder="1" applyAlignment="1">
      <alignment horizontal="center" vertical="center"/>
    </xf>
    <xf numFmtId="9" fontId="59" fillId="13" borderId="37" xfId="1" applyFont="1" applyFill="1" applyBorder="1" applyAlignment="1">
      <alignment horizontal="center" vertical="center"/>
    </xf>
    <xf numFmtId="9" fontId="58" fillId="13" borderId="4" xfId="1" applyFont="1" applyFill="1" applyBorder="1" applyAlignment="1">
      <alignment horizontal="center" vertical="center"/>
    </xf>
    <xf numFmtId="9" fontId="58" fillId="13" borderId="17" xfId="1" applyFont="1" applyFill="1" applyBorder="1" applyAlignment="1">
      <alignment horizontal="center" vertical="center"/>
    </xf>
    <xf numFmtId="9" fontId="58" fillId="13" borderId="18" xfId="1" applyFont="1" applyFill="1" applyBorder="1" applyAlignment="1">
      <alignment horizontal="center" vertical="center"/>
    </xf>
    <xf numFmtId="9" fontId="58" fillId="13" borderId="58" xfId="1" applyFont="1" applyFill="1" applyBorder="1" applyAlignment="1">
      <alignment horizontal="center" vertical="center"/>
    </xf>
    <xf numFmtId="0" fontId="44" fillId="0" borderId="1"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18" xfId="0" applyFont="1" applyBorder="1" applyAlignment="1">
      <alignment horizontal="center" vertical="center" wrapText="1"/>
    </xf>
    <xf numFmtId="9" fontId="58" fillId="18" borderId="4" xfId="1" applyFont="1" applyFill="1" applyBorder="1" applyAlignment="1">
      <alignment horizontal="center" vertical="center"/>
    </xf>
    <xf numFmtId="9" fontId="58" fillId="18" borderId="17" xfId="1" applyFont="1" applyFill="1" applyBorder="1" applyAlignment="1">
      <alignment horizontal="center" vertical="center"/>
    </xf>
    <xf numFmtId="9" fontId="58" fillId="18" borderId="18" xfId="1" applyFont="1" applyFill="1" applyBorder="1" applyAlignment="1">
      <alignment horizontal="center" vertical="center"/>
    </xf>
    <xf numFmtId="9" fontId="58" fillId="18" borderId="12" xfId="1" applyFont="1" applyFill="1" applyBorder="1" applyAlignment="1">
      <alignment horizontal="center" vertical="center"/>
    </xf>
    <xf numFmtId="9" fontId="58" fillId="18" borderId="58" xfId="1" applyFont="1" applyFill="1" applyBorder="1" applyAlignment="1">
      <alignment horizontal="center" vertical="center"/>
    </xf>
    <xf numFmtId="9" fontId="58" fillId="18" borderId="16" xfId="1" applyFont="1" applyFill="1" applyBorder="1" applyAlignment="1">
      <alignment horizontal="center" vertical="center"/>
    </xf>
    <xf numFmtId="0" fontId="44" fillId="0" borderId="17" xfId="0" applyFont="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4"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26" xfId="0" applyFont="1" applyFill="1" applyBorder="1" applyAlignment="1">
      <alignment horizontal="center" vertical="center" wrapText="1"/>
    </xf>
    <xf numFmtId="0" fontId="63" fillId="0" borderId="12" xfId="0" applyFont="1" applyBorder="1" applyAlignment="1">
      <alignment horizontal="center" vertical="center" wrapText="1"/>
    </xf>
    <xf numFmtId="0" fontId="63" fillId="0" borderId="58" xfId="0" applyFont="1" applyBorder="1" applyAlignment="1">
      <alignment horizontal="center" vertical="center" wrapText="1"/>
    </xf>
    <xf numFmtId="0" fontId="63" fillId="0" borderId="16" xfId="0" applyFont="1" applyBorder="1" applyAlignment="1">
      <alignment horizontal="center" vertical="center" wrapText="1"/>
    </xf>
    <xf numFmtId="0" fontId="44" fillId="0" borderId="43" xfId="0" applyFont="1" applyFill="1" applyBorder="1" applyAlignment="1">
      <alignment horizontal="center" vertical="center" wrapText="1"/>
    </xf>
    <xf numFmtId="0" fontId="48" fillId="17" borderId="35" xfId="0" applyFont="1" applyFill="1" applyBorder="1" applyAlignment="1">
      <alignment horizontal="center" vertical="center"/>
    </xf>
    <xf numFmtId="0" fontId="48" fillId="17" borderId="26"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7" fillId="0" borderId="70"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0" fontId="62" fillId="0" borderId="4" xfId="0" applyFont="1" applyBorder="1" applyAlignment="1">
      <alignment horizontal="justify" vertical="center" wrapText="1"/>
    </xf>
    <xf numFmtId="0" fontId="62" fillId="0" borderId="17" xfId="0" applyFont="1" applyBorder="1" applyAlignment="1">
      <alignment horizontal="justify" vertical="center" wrapText="1"/>
    </xf>
    <xf numFmtId="0" fontId="62" fillId="0" borderId="18" xfId="0" applyFont="1" applyBorder="1" applyAlignment="1">
      <alignment horizontal="justify" vertical="center" wrapText="1"/>
    </xf>
    <xf numFmtId="0" fontId="44" fillId="0" borderId="4"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4" fillId="0" borderId="18" xfId="0" applyFont="1" applyFill="1" applyBorder="1" applyAlignment="1">
      <alignment horizontal="justify" vertical="center" wrapText="1"/>
    </xf>
    <xf numFmtId="0" fontId="62" fillId="0" borderId="43" xfId="0" applyFont="1" applyBorder="1" applyAlignment="1">
      <alignment horizontal="justify" vertical="center" wrapText="1"/>
    </xf>
    <xf numFmtId="0" fontId="62" fillId="0" borderId="1" xfId="0" applyFont="1" applyBorder="1" applyAlignment="1">
      <alignment horizontal="justify" vertical="center" wrapText="1"/>
    </xf>
    <xf numFmtId="0" fontId="44" fillId="0" borderId="26" xfId="0" applyFont="1" applyBorder="1" applyAlignment="1">
      <alignment horizontal="justify" vertical="center" wrapText="1"/>
    </xf>
    <xf numFmtId="0" fontId="44" fillId="0" borderId="26" xfId="0" applyFont="1" applyBorder="1" applyAlignment="1">
      <alignment horizontal="center"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44" fillId="0" borderId="26" xfId="0" applyFont="1" applyFill="1" applyBorder="1" applyAlignment="1">
      <alignment horizontal="justify" vertical="center" wrapText="1"/>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14"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2"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4" xfId="1" applyFont="1" applyFill="1" applyBorder="1" applyAlignment="1">
      <alignment horizontal="right" vertical="center"/>
    </xf>
    <xf numFmtId="9" fontId="58" fillId="18" borderId="18" xfId="1" applyFont="1" applyFill="1" applyBorder="1" applyAlignment="1">
      <alignment horizontal="right" vertical="center"/>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0" fontId="62" fillId="0" borderId="26" xfId="0" applyFont="1" applyBorder="1" applyAlignment="1">
      <alignment horizontal="justify" vertical="center" wrapText="1"/>
    </xf>
    <xf numFmtId="0" fontId="63" fillId="0" borderId="28" xfId="0" applyFont="1" applyFill="1" applyBorder="1" applyAlignment="1">
      <alignment horizontal="center" vertical="center" wrapText="1"/>
    </xf>
    <xf numFmtId="0" fontId="63" fillId="0" borderId="58"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44" fillId="0" borderId="4" xfId="0" applyFont="1" applyFill="1" applyBorder="1" applyAlignment="1">
      <alignment horizontal="center" vertical="center"/>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9" fontId="56" fillId="13" borderId="21" xfId="0" applyNumberFormat="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0"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9" fontId="56" fillId="13" borderId="23" xfId="1" applyFont="1" applyFill="1" applyBorder="1" applyAlignment="1">
      <alignment horizontal="center" vertical="center"/>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1" fontId="56" fillId="13" borderId="23" xfId="1" applyNumberFormat="1" applyFont="1" applyFill="1" applyBorder="1" applyAlignment="1">
      <alignment horizontal="center" vertical="center"/>
    </xf>
    <xf numFmtId="9" fontId="58" fillId="13" borderId="58" xfId="1" applyFont="1" applyFill="1" applyBorder="1" applyAlignment="1">
      <alignment horizontal="right" vertical="center"/>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0" fontId="69" fillId="16" borderId="33" xfId="0" applyFont="1" applyFill="1" applyBorder="1" applyAlignment="1">
      <alignment horizontal="center" vertical="center" wrapText="1"/>
    </xf>
    <xf numFmtId="0" fontId="69" fillId="16" borderId="57"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9" fillId="16" borderId="31" xfId="0" applyFont="1" applyFill="1" applyBorder="1" applyAlignment="1">
      <alignment horizontal="center" vertical="center" wrapText="1"/>
    </xf>
    <xf numFmtId="0" fontId="68" fillId="12" borderId="29" xfId="0" applyFont="1" applyFill="1" applyBorder="1" applyAlignment="1">
      <alignment horizontal="center" vertical="center" wrapText="1"/>
    </xf>
    <xf numFmtId="0" fontId="68" fillId="12" borderId="30" xfId="0" applyFont="1" applyFill="1" applyBorder="1" applyAlignment="1">
      <alignment horizontal="center" vertical="center" wrapText="1"/>
    </xf>
    <xf numFmtId="0" fontId="68" fillId="12" borderId="31" xfId="0" applyFont="1" applyFill="1" applyBorder="1" applyAlignment="1">
      <alignment horizontal="center" vertical="center" wrapText="1"/>
    </xf>
    <xf numFmtId="49" fontId="64" fillId="16" borderId="68" xfId="0" applyNumberFormat="1" applyFont="1" applyFill="1" applyBorder="1" applyAlignment="1">
      <alignment horizontal="center" vertical="center" wrapText="1"/>
    </xf>
    <xf numFmtId="49" fontId="64" fillId="16" borderId="30" xfId="0" applyNumberFormat="1" applyFont="1" applyFill="1" applyBorder="1" applyAlignment="1">
      <alignment horizontal="center" vertical="center" wrapText="1"/>
    </xf>
    <xf numFmtId="49" fontId="64" fillId="16" borderId="27" xfId="0" applyNumberFormat="1" applyFont="1" applyFill="1" applyBorder="1" applyAlignment="1">
      <alignment horizontal="center" vertical="center" wrapText="1"/>
    </xf>
    <xf numFmtId="49" fontId="64" fillId="16" borderId="69" xfId="0" applyNumberFormat="1" applyFont="1" applyFill="1" applyBorder="1" applyAlignment="1">
      <alignment horizontal="center" vertical="center" wrapText="1"/>
    </xf>
    <xf numFmtId="9" fontId="58" fillId="18" borderId="17" xfId="1" applyFont="1" applyFill="1" applyBorder="1" applyAlignment="1">
      <alignment horizontal="right" vertical="center"/>
    </xf>
    <xf numFmtId="9" fontId="58" fillId="18" borderId="58" xfId="1" applyFont="1" applyFill="1" applyBorder="1" applyAlignment="1">
      <alignment horizontal="right" vertical="center"/>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2" fillId="0" borderId="24"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44"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0" fontId="60" fillId="0" borderId="12" xfId="0" applyFont="1" applyFill="1" applyBorder="1" applyAlignment="1">
      <alignment horizontal="justify" vertical="center" wrapText="1"/>
    </xf>
    <xf numFmtId="0" fontId="60" fillId="0" borderId="16" xfId="0" applyFont="1" applyFill="1" applyBorder="1" applyAlignment="1">
      <alignment horizontal="justify" vertical="center" wrapText="1"/>
    </xf>
    <xf numFmtId="49" fontId="65" fillId="16" borderId="27" xfId="0" applyNumberFormat="1" applyFont="1" applyFill="1" applyBorder="1" applyAlignment="1">
      <alignment horizontal="center" vertical="center" wrapText="1"/>
    </xf>
    <xf numFmtId="49" fontId="65" fillId="16" borderId="57"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43" xfId="0" applyFont="1" applyFill="1" applyBorder="1" applyAlignment="1">
      <alignment horizontal="center" vertical="center"/>
    </xf>
    <xf numFmtId="49" fontId="65" fillId="16" borderId="29"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49" fontId="64" fillId="16" borderId="29" xfId="0" applyNumberFormat="1" applyFont="1" applyFill="1" applyBorder="1" applyAlignment="1">
      <alignment horizontal="center" vertical="center" wrapText="1"/>
    </xf>
    <xf numFmtId="49" fontId="64"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4" fillId="16" borderId="57" xfId="0" applyNumberFormat="1" applyFont="1" applyFill="1" applyBorder="1" applyAlignment="1">
      <alignment horizontal="center" vertical="center" wrapText="1"/>
    </xf>
    <xf numFmtId="49" fontId="65" fillId="16" borderId="33" xfId="0" applyNumberFormat="1" applyFont="1" applyFill="1" applyBorder="1" applyAlignment="1">
      <alignment horizontal="center" vertical="center" wrapText="1"/>
    </xf>
    <xf numFmtId="0" fontId="44" fillId="0" borderId="1" xfId="0" applyFont="1" applyBorder="1" applyAlignment="1">
      <alignment horizontal="justify" vertical="center" wrapText="1"/>
    </xf>
    <xf numFmtId="0" fontId="62" fillId="0" borderId="4"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8"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5" xfId="0" applyFont="1" applyBorder="1" applyAlignment="1">
      <alignment horizontal="center" vertical="center" wrapText="1"/>
    </xf>
    <xf numFmtId="0" fontId="44" fillId="0" borderId="43" xfId="0" applyFont="1" applyBorder="1" applyAlignment="1">
      <alignment horizontal="center" vertical="center" wrapText="1"/>
    </xf>
    <xf numFmtId="0" fontId="57" fillId="0" borderId="13" xfId="0" applyFont="1" applyBorder="1" applyAlignment="1">
      <alignment horizontal="center" vertical="center"/>
    </xf>
    <xf numFmtId="0" fontId="57" fillId="0" borderId="14" xfId="0" applyFont="1" applyBorder="1" applyAlignment="1">
      <alignment horizontal="center" vertical="center"/>
    </xf>
    <xf numFmtId="0" fontId="57" fillId="0" borderId="15" xfId="0" applyFont="1" applyBorder="1" applyAlignment="1">
      <alignment horizontal="center" vertical="center"/>
    </xf>
    <xf numFmtId="0" fontId="60" fillId="0" borderId="12" xfId="0" applyFont="1" applyFill="1" applyBorder="1" applyAlignment="1">
      <alignment horizontal="left" vertical="center" wrapText="1"/>
    </xf>
    <xf numFmtId="0" fontId="60" fillId="0" borderId="58" xfId="0" applyFont="1" applyFill="1" applyBorder="1" applyAlignment="1">
      <alignment horizontal="left" vertical="center" wrapText="1"/>
    </xf>
    <xf numFmtId="0" fontId="60" fillId="0" borderId="16" xfId="0" applyFont="1" applyFill="1" applyBorder="1" applyAlignment="1">
      <alignment horizontal="left" vertical="center" wrapText="1"/>
    </xf>
    <xf numFmtId="1" fontId="59" fillId="13" borderId="11" xfId="1" applyNumberFormat="1" applyFont="1" applyFill="1" applyBorder="1" applyAlignment="1">
      <alignment horizontal="right" vertical="center"/>
    </xf>
    <xf numFmtId="1" fontId="59" fillId="13" borderId="14" xfId="1" applyNumberFormat="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11" xfId="1" applyNumberFormat="1" applyFont="1" applyFill="1" applyBorder="1" applyAlignment="1">
      <alignment horizontal="center" vertical="center"/>
    </xf>
    <xf numFmtId="1" fontId="59" fillId="13" borderId="14" xfId="1" applyNumberFormat="1" applyFont="1" applyFill="1" applyBorder="1" applyAlignment="1">
      <alignment horizontal="center" vertical="center"/>
    </xf>
    <xf numFmtId="1" fontId="59" fillId="13" borderId="37" xfId="1" applyNumberFormat="1" applyFont="1" applyFill="1" applyBorder="1" applyAlignment="1">
      <alignment horizontal="center" vertical="center"/>
    </xf>
    <xf numFmtId="0" fontId="60" fillId="0" borderId="12" xfId="0" applyFont="1" applyFill="1" applyBorder="1" applyAlignment="1">
      <alignment horizontal="center" vertical="center" wrapText="1"/>
    </xf>
    <xf numFmtId="0" fontId="60" fillId="0" borderId="58" xfId="0" applyFont="1" applyFill="1" applyBorder="1" applyAlignment="1">
      <alignment horizontal="center" vertical="center" wrapText="1"/>
    </xf>
    <xf numFmtId="0" fontId="60" fillId="0" borderId="16" xfId="0" applyFont="1" applyFill="1" applyBorder="1" applyAlignment="1">
      <alignment horizontal="center" vertical="center" wrapText="1"/>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69" fillId="16" borderId="34" xfId="1" applyFont="1" applyFill="1" applyBorder="1" applyAlignment="1">
      <alignment horizontal="center" vertical="center" wrapText="1"/>
    </xf>
    <xf numFmtId="9" fontId="69" fillId="16" borderId="59" xfId="1" applyFont="1" applyFill="1" applyBorder="1" applyAlignment="1">
      <alignment horizontal="center" vertical="center" wrapText="1"/>
    </xf>
    <xf numFmtId="9" fontId="69" fillId="16" borderId="72" xfId="1" applyFont="1" applyFill="1" applyBorder="1" applyAlignment="1">
      <alignment horizontal="center" vertical="center" wrapText="1"/>
    </xf>
    <xf numFmtId="9" fontId="69" fillId="16" borderId="20" xfId="1" applyFont="1" applyFill="1" applyBorder="1" applyAlignment="1">
      <alignment horizontal="center" vertical="center" wrapText="1"/>
    </xf>
    <xf numFmtId="9" fontId="69" fillId="16" borderId="0" xfId="1" applyFont="1" applyFill="1" applyBorder="1" applyAlignment="1">
      <alignment horizontal="center" vertical="center" wrapText="1"/>
    </xf>
    <xf numFmtId="9" fontId="69" fillId="16" borderId="29" xfId="1" applyFont="1" applyFill="1" applyBorder="1" applyAlignment="1">
      <alignment horizontal="center" vertical="center" wrapText="1"/>
    </xf>
    <xf numFmtId="9" fontId="69" fillId="16" borderId="30" xfId="1" applyFont="1" applyFill="1" applyBorder="1" applyAlignment="1">
      <alignment horizontal="center" vertical="center" wrapText="1"/>
    </xf>
    <xf numFmtId="9" fontId="69" fillId="16" borderId="31" xfId="1" applyFont="1" applyFill="1" applyBorder="1" applyAlignment="1">
      <alignment horizontal="center" vertical="center" wrapText="1"/>
    </xf>
    <xf numFmtId="9" fontId="69" fillId="16" borderId="32"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69" fillId="16" borderId="57" xfId="1" applyFont="1" applyFill="1" applyBorder="1" applyAlignment="1">
      <alignment horizontal="center" vertical="center" wrapText="1"/>
    </xf>
    <xf numFmtId="9" fontId="69" fillId="16" borderId="40"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9" fontId="69" fillId="16" borderId="74" xfId="1" applyFont="1" applyFill="1" applyBorder="1" applyAlignment="1">
      <alignment horizontal="center" vertical="center" wrapText="1"/>
    </xf>
    <xf numFmtId="0" fontId="70" fillId="0" borderId="1" xfId="0" applyFont="1" applyBorder="1" applyAlignment="1">
      <alignment horizontal="justify" vertical="center" wrapText="1"/>
    </xf>
    <xf numFmtId="0" fontId="5" fillId="0" borderId="1" xfId="0" applyFont="1" applyBorder="1" applyAlignment="1">
      <alignment horizontal="center"/>
    </xf>
    <xf numFmtId="0" fontId="20" fillId="0" borderId="54" xfId="0" applyFont="1" applyBorder="1" applyAlignment="1">
      <alignment horizontal="justify" vertical="center" wrapText="1"/>
    </xf>
    <xf numFmtId="0" fontId="20" fillId="0" borderId="38" xfId="0" applyFont="1" applyBorder="1" applyAlignment="1">
      <alignment horizontal="justify" vertical="center"/>
    </xf>
    <xf numFmtId="0" fontId="20" fillId="0" borderId="39" xfId="0" applyFont="1" applyBorder="1" applyAlignment="1">
      <alignment horizontal="justify" vertical="center"/>
    </xf>
    <xf numFmtId="0" fontId="0" fillId="0" borderId="54"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xf>
    <xf numFmtId="14" fontId="20" fillId="0" borderId="1" xfId="0" applyNumberFormat="1" applyFont="1" applyBorder="1" applyAlignment="1">
      <alignment horizontal="center" vertical="center"/>
    </xf>
    <xf numFmtId="0" fontId="5" fillId="0" borderId="0" xfId="0" applyFont="1" applyFill="1" applyBorder="1" applyAlignment="1">
      <alignment horizontal="center"/>
    </xf>
    <xf numFmtId="0" fontId="5" fillId="0" borderId="0" xfId="0" applyFont="1" applyAlignment="1">
      <alignment horizont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20" fillId="0" borderId="1" xfId="0" applyFont="1" applyBorder="1" applyAlignment="1">
      <alignment horizontal="center" vertical="center"/>
    </xf>
  </cellXfs>
  <cellStyles count="37">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3005">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175099"/>
      <color rgb="FF00ACCA"/>
      <color rgb="FF3333FF"/>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hyperlink" Target="#'Cumplimiento de objetivos Mejor'!A1"/><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image" Target="../media/image2.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hyperlink" Target="#'Cumplimiento Dependencias Mejor'!A1"/><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444498</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958963</xdr:colOff>
      <xdr:row>0</xdr:row>
      <xdr:rowOff>178594</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963" y="178594"/>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166686</xdr:colOff>
      <xdr:row>19</xdr:row>
      <xdr:rowOff>107156</xdr:rowOff>
    </xdr:from>
    <xdr:to>
      <xdr:col>57</xdr:col>
      <xdr:colOff>504824</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2"/>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57</xdr:col>
      <xdr:colOff>400050</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3"/>
        <a:stretch>
          <a:fillRect/>
        </a:stretch>
      </xdr:blipFill>
      <xdr:spPr>
        <a:xfrm>
          <a:off x="15582897" y="5441156"/>
          <a:ext cx="3481388" cy="2005313"/>
        </a:xfrm>
        <a:prstGeom prst="rect">
          <a:avLst/>
        </a:prstGeom>
      </xdr:spPr>
    </xdr:pic>
    <xdr:clientData/>
  </xdr:twoCellAnchor>
  <xdr:twoCellAnchor editAs="oneCell">
    <xdr:from>
      <xdr:col>53</xdr:col>
      <xdr:colOff>83343</xdr:colOff>
      <xdr:row>0</xdr:row>
      <xdr:rowOff>250031</xdr:rowOff>
    </xdr:from>
    <xdr:to>
      <xdr:col>55</xdr:col>
      <xdr:colOff>273843</xdr:colOff>
      <xdr:row>1</xdr:row>
      <xdr:rowOff>349820</xdr:rowOff>
    </xdr:to>
    <xdr:pic>
      <xdr:nvPicPr>
        <xdr:cNvPr id="7" name="Imagen 6">
          <a:extLst>
            <a:ext uri="{FF2B5EF4-FFF2-40B4-BE49-F238E27FC236}">
              <a16:creationId xmlns:a16="http://schemas.microsoft.com/office/drawing/2014/main" id="{76EECB14-94C7-49D8-B7F8-D8D8214102E3}"/>
            </a:ext>
          </a:extLst>
        </xdr:cNvPr>
        <xdr:cNvPicPr>
          <a:picLocks noChangeAspect="1"/>
        </xdr:cNvPicPr>
      </xdr:nvPicPr>
      <xdr:blipFill>
        <a:blip xmlns:r="http://schemas.openxmlformats.org/officeDocument/2006/relationships" r:embed="rId4"/>
        <a:stretch>
          <a:fillRect/>
        </a:stretch>
      </xdr:blipFill>
      <xdr:spPr>
        <a:xfrm>
          <a:off x="12858749" y="250031"/>
          <a:ext cx="1714500" cy="5165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571499</xdr:colOff>
      <xdr:row>0</xdr:row>
      <xdr:rowOff>0</xdr:rowOff>
    </xdr:from>
    <xdr:to>
      <xdr:col>11</xdr:col>
      <xdr:colOff>150922</xdr:colOff>
      <xdr:row>2</xdr:row>
      <xdr:rowOff>180974</xdr:rowOff>
    </xdr:to>
    <xdr:pic>
      <xdr:nvPicPr>
        <xdr:cNvPr id="5" name="Imagen 4">
          <a:extLst>
            <a:ext uri="{FF2B5EF4-FFF2-40B4-BE49-F238E27FC236}">
              <a16:creationId xmlns:a16="http://schemas.microsoft.com/office/drawing/2014/main" id="{7C049703-2C4B-4A43-A6EA-9FE4BD5EB703}"/>
            </a:ext>
          </a:extLst>
        </xdr:cNvPr>
        <xdr:cNvPicPr>
          <a:picLocks noChangeAspect="1"/>
        </xdr:cNvPicPr>
      </xdr:nvPicPr>
      <xdr:blipFill>
        <a:blip xmlns:r="http://schemas.openxmlformats.org/officeDocument/2006/relationships" r:embed="rId2"/>
        <a:stretch>
          <a:fillRect/>
        </a:stretch>
      </xdr:blipFill>
      <xdr:spPr>
        <a:xfrm>
          <a:off x="6667499" y="0"/>
          <a:ext cx="1865423" cy="5619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550333</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18"/>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19"/>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twoCellAnchor editAs="oneCell">
    <xdr:from>
      <xdr:col>8</xdr:col>
      <xdr:colOff>685801</xdr:colOff>
      <xdr:row>1</xdr:row>
      <xdr:rowOff>38100</xdr:rowOff>
    </xdr:from>
    <xdr:to>
      <xdr:col>11</xdr:col>
      <xdr:colOff>114301</xdr:colOff>
      <xdr:row>3</xdr:row>
      <xdr:rowOff>173608</xdr:rowOff>
    </xdr:to>
    <xdr:pic>
      <xdr:nvPicPr>
        <xdr:cNvPr id="13" name="Imagen 12">
          <a:extLst>
            <a:ext uri="{FF2B5EF4-FFF2-40B4-BE49-F238E27FC236}">
              <a16:creationId xmlns:a16="http://schemas.microsoft.com/office/drawing/2014/main" id="{20C7C106-A207-478B-A6D6-3E6940A30D41}"/>
            </a:ext>
          </a:extLst>
        </xdr:cNvPr>
        <xdr:cNvPicPr>
          <a:picLocks noChangeAspect="1"/>
        </xdr:cNvPicPr>
      </xdr:nvPicPr>
      <xdr:blipFill>
        <a:blip xmlns:r="http://schemas.openxmlformats.org/officeDocument/2006/relationships" r:embed="rId20"/>
        <a:stretch>
          <a:fillRect/>
        </a:stretch>
      </xdr:blipFill>
      <xdr:spPr>
        <a:xfrm>
          <a:off x="6781801" y="238125"/>
          <a:ext cx="1714500" cy="5165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92</xdr:col>
      <xdr:colOff>19050</xdr:colOff>
      <xdr:row>0</xdr:row>
      <xdr:rowOff>50799</xdr:rowOff>
    </xdr:from>
    <xdr:to>
      <xdr:col>95</xdr:col>
      <xdr:colOff>266700</xdr:colOff>
      <xdr:row>2</xdr:row>
      <xdr:rowOff>241241</xdr:rowOff>
    </xdr:to>
    <xdr:pic>
      <xdr:nvPicPr>
        <xdr:cNvPr id="5" name="Imagen 4">
          <a:extLst>
            <a:ext uri="{FF2B5EF4-FFF2-40B4-BE49-F238E27FC236}">
              <a16:creationId xmlns:a16="http://schemas.microsoft.com/office/drawing/2014/main" id="{C6F28B4E-B5B4-4B1D-A1E3-BB79AA01314D}"/>
            </a:ext>
          </a:extLst>
        </xdr:cNvPr>
        <xdr:cNvPicPr>
          <a:picLocks noChangeAspect="1"/>
        </xdr:cNvPicPr>
      </xdr:nvPicPr>
      <xdr:blipFill>
        <a:blip xmlns:r="http://schemas.openxmlformats.org/officeDocument/2006/relationships" r:embed="rId2"/>
        <a:stretch>
          <a:fillRect/>
        </a:stretch>
      </xdr:blipFill>
      <xdr:spPr>
        <a:xfrm>
          <a:off x="30956250" y="50799"/>
          <a:ext cx="2476500" cy="742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15</xdr:row>
      <xdr:rowOff>28575</xdr:rowOff>
    </xdr:from>
    <xdr:to>
      <xdr:col>0</xdr:col>
      <xdr:colOff>3590925</xdr:colOff>
      <xdr:row>25</xdr:row>
      <xdr:rowOff>128888</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2"/>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128888</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3"/>
        <a:stretch>
          <a:fillRect/>
        </a:stretch>
      </xdr:blipFill>
      <xdr:spPr>
        <a:xfrm>
          <a:off x="3638550" y="3543300"/>
          <a:ext cx="3448050" cy="2005313"/>
        </a:xfrm>
        <a:prstGeom prst="rect">
          <a:avLst/>
        </a:prstGeom>
      </xdr:spPr>
    </xdr:pic>
    <xdr:clientData/>
  </xdr:twoCellAnchor>
  <xdr:twoCellAnchor editAs="oneCell">
    <xdr:from>
      <xdr:col>57</xdr:col>
      <xdr:colOff>266700</xdr:colOff>
      <xdr:row>0</xdr:row>
      <xdr:rowOff>66675</xdr:rowOff>
    </xdr:from>
    <xdr:to>
      <xdr:col>59</xdr:col>
      <xdr:colOff>457200</xdr:colOff>
      <xdr:row>3</xdr:row>
      <xdr:rowOff>2158</xdr:rowOff>
    </xdr:to>
    <xdr:pic>
      <xdr:nvPicPr>
        <xdr:cNvPr id="7" name="Imagen 6">
          <a:extLst>
            <a:ext uri="{FF2B5EF4-FFF2-40B4-BE49-F238E27FC236}">
              <a16:creationId xmlns:a16="http://schemas.microsoft.com/office/drawing/2014/main" id="{C619D03C-B2B4-4D8F-ADB3-454B68AD6E62}"/>
            </a:ext>
          </a:extLst>
        </xdr:cNvPr>
        <xdr:cNvPicPr>
          <a:picLocks noChangeAspect="1"/>
        </xdr:cNvPicPr>
      </xdr:nvPicPr>
      <xdr:blipFill>
        <a:blip xmlns:r="http://schemas.openxmlformats.org/officeDocument/2006/relationships" r:embed="rId4"/>
        <a:stretch>
          <a:fillRect/>
        </a:stretch>
      </xdr:blipFill>
      <xdr:spPr>
        <a:xfrm>
          <a:off x="11134725" y="66675"/>
          <a:ext cx="1714500" cy="5165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2"/>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3"/>
        <a:stretch>
          <a:fillRect/>
        </a:stretch>
      </xdr:blipFill>
      <xdr:spPr>
        <a:xfrm>
          <a:off x="3981450" y="8629650"/>
          <a:ext cx="3448050" cy="2005313"/>
        </a:xfrm>
        <a:prstGeom prst="rect">
          <a:avLst/>
        </a:prstGeom>
      </xdr:spPr>
    </xdr:pic>
    <xdr:clientData/>
  </xdr:twoCellAnchor>
  <xdr:twoCellAnchor editAs="oneCell">
    <xdr:from>
      <xdr:col>53</xdr:col>
      <xdr:colOff>323850</xdr:colOff>
      <xdr:row>0</xdr:row>
      <xdr:rowOff>114300</xdr:rowOff>
    </xdr:from>
    <xdr:to>
      <xdr:col>55</xdr:col>
      <xdr:colOff>514350</xdr:colOff>
      <xdr:row>2</xdr:row>
      <xdr:rowOff>116458</xdr:rowOff>
    </xdr:to>
    <xdr:pic>
      <xdr:nvPicPr>
        <xdr:cNvPr id="7" name="Imagen 6">
          <a:extLst>
            <a:ext uri="{FF2B5EF4-FFF2-40B4-BE49-F238E27FC236}">
              <a16:creationId xmlns:a16="http://schemas.microsoft.com/office/drawing/2014/main" id="{11CB4D24-7EA5-4231-8A1E-4CCBEDFDF0E1}"/>
            </a:ext>
          </a:extLst>
        </xdr:cNvPr>
        <xdr:cNvPicPr>
          <a:picLocks noChangeAspect="1"/>
        </xdr:cNvPicPr>
      </xdr:nvPicPr>
      <xdr:blipFill>
        <a:blip xmlns:r="http://schemas.openxmlformats.org/officeDocument/2006/relationships" r:embed="rId4"/>
        <a:stretch>
          <a:fillRect/>
        </a:stretch>
      </xdr:blipFill>
      <xdr:spPr>
        <a:xfrm>
          <a:off x="8077200" y="114300"/>
          <a:ext cx="1714500" cy="5165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2"/>
        <a:stretch>
          <a:fillRect/>
        </a:stretch>
      </xdr:blipFill>
      <xdr:spPr>
        <a:xfrm>
          <a:off x="119105" y="5429250"/>
          <a:ext cx="3552824" cy="2005313"/>
        </a:xfrm>
        <a:prstGeom prst="rect">
          <a:avLst/>
        </a:prstGeom>
      </xdr:spPr>
    </xdr:pic>
    <xdr:clientData/>
  </xdr:twoCellAnchor>
  <xdr:twoCellAnchor editAs="oneCell">
    <xdr:from>
      <xdr:col>2</xdr:col>
      <xdr:colOff>843004</xdr:colOff>
      <xdr:row>15</xdr:row>
      <xdr:rowOff>107156</xdr:rowOff>
    </xdr:from>
    <xdr:to>
      <xdr:col>13</xdr:col>
      <xdr:colOff>123867</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3"/>
        <a:stretch>
          <a:fillRect/>
        </a:stretch>
      </xdr:blipFill>
      <xdr:spPr>
        <a:xfrm>
          <a:off x="4260098" y="5738812"/>
          <a:ext cx="3448050" cy="2005313"/>
        </a:xfrm>
        <a:prstGeom prst="rect">
          <a:avLst/>
        </a:prstGeom>
      </xdr:spPr>
    </xdr:pic>
    <xdr:clientData/>
  </xdr:twoCellAnchor>
  <xdr:twoCellAnchor editAs="oneCell">
    <xdr:from>
      <xdr:col>53</xdr:col>
      <xdr:colOff>35719</xdr:colOff>
      <xdr:row>0</xdr:row>
      <xdr:rowOff>142874</xdr:rowOff>
    </xdr:from>
    <xdr:to>
      <xdr:col>55</xdr:col>
      <xdr:colOff>226219</xdr:colOff>
      <xdr:row>1</xdr:row>
      <xdr:rowOff>337913</xdr:rowOff>
    </xdr:to>
    <xdr:pic>
      <xdr:nvPicPr>
        <xdr:cNvPr id="7" name="Imagen 6">
          <a:extLst>
            <a:ext uri="{FF2B5EF4-FFF2-40B4-BE49-F238E27FC236}">
              <a16:creationId xmlns:a16="http://schemas.microsoft.com/office/drawing/2014/main" id="{E5ED71A3-29CE-48F8-AD11-8C0D421F8A9E}"/>
            </a:ext>
          </a:extLst>
        </xdr:cNvPr>
        <xdr:cNvPicPr>
          <a:picLocks noChangeAspect="1"/>
        </xdr:cNvPicPr>
      </xdr:nvPicPr>
      <xdr:blipFill>
        <a:blip xmlns:r="http://schemas.openxmlformats.org/officeDocument/2006/relationships" r:embed="rId4"/>
        <a:stretch>
          <a:fillRect/>
        </a:stretch>
      </xdr:blipFill>
      <xdr:spPr>
        <a:xfrm>
          <a:off x="11941969" y="142874"/>
          <a:ext cx="1714500" cy="516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Avances%204&#176;%20Trimestre%20Plan%20Accion%20Integrado%20ADRES%202018%20con%20Cuadro%20de%20Mando%20Publicac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tha.serna/ADRES/DIANA%20FERNANDA%20FORERO%20CORREDOR%20-%20GRUPO%20GESTI&#211;N%20DE%20SERVICIO%20AL%20CIUDADANO/Plan%20Accion%20Integrado%20ADRES%20Vigencia%202018%20%20con%20cuadro%20de%20mando%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4%20Otros%20planes%20T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Plan_Accion_2019_OCI_V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con%20Cuadro%20de%20Mando%20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DGT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DIES-F07-08_Plan_Accion_2019_V01%20aprobado%20publicac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Estadística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REF.P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sheetData sheetId="1"/>
      <sheetData sheetId="2"/>
      <sheetData sheetId="3">
        <row r="283">
          <cell r="B283" t="str">
            <v xml:space="preserve">Dirección de Otras Prestaciones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45"/>
  <sheetViews>
    <sheetView showGridLines="0" tabSelected="1" zoomScale="50" zoomScaleNormal="50" workbookViewId="0">
      <pane ySplit="8" topLeftCell="A11" activePane="bottomLeft" state="frozen"/>
      <selection pane="bottomLeft" activeCell="C11" sqref="C11"/>
    </sheetView>
  </sheetViews>
  <sheetFormatPr baseColWidth="10" defaultRowHeight="14.25" x14ac:dyDescent="0.2"/>
  <cols>
    <col min="1" max="1" width="17.85546875" style="138" customWidth="1"/>
    <col min="2" max="2" width="30.42578125" style="138" bestFit="1" customWidth="1"/>
    <col min="3" max="3" width="10.28515625" style="140" customWidth="1"/>
    <col min="4" max="5" width="7.85546875" style="140" customWidth="1"/>
    <col min="6" max="6" width="17.5703125" style="138" customWidth="1"/>
    <col min="7" max="7" width="38.28515625" style="138" customWidth="1"/>
    <col min="8" max="8" width="18.5703125" style="138" customWidth="1"/>
    <col min="9" max="9" width="29.140625" style="138" customWidth="1"/>
    <col min="10" max="10" width="15.7109375" style="138" customWidth="1"/>
    <col min="11" max="11" width="26.140625" style="138" customWidth="1"/>
    <col min="12" max="12" width="12.85546875" style="140" customWidth="1"/>
    <col min="13" max="13" width="15.42578125" style="138" customWidth="1"/>
    <col min="14" max="14" width="14.5703125" style="138" customWidth="1"/>
    <col min="15" max="15" width="29.85546875" style="138" customWidth="1"/>
    <col min="16" max="16" width="23.5703125" style="138" customWidth="1"/>
    <col min="17" max="17" width="17.28515625" style="138" customWidth="1"/>
    <col min="18" max="18" width="21.42578125" style="138" customWidth="1"/>
    <col min="19" max="19" width="23.7109375" style="138" customWidth="1"/>
    <col min="20" max="20" width="25.7109375" style="138" customWidth="1"/>
    <col min="21" max="21" width="35" style="138" customWidth="1"/>
    <col min="22" max="22" width="19.85546875" style="138" customWidth="1"/>
    <col min="23" max="23" width="33.7109375" style="138" customWidth="1"/>
    <col min="24" max="24" width="26.5703125" style="138" customWidth="1"/>
    <col min="25" max="25" width="28.28515625" style="138" customWidth="1"/>
    <col min="26" max="26" width="13.140625" style="138" customWidth="1"/>
    <col min="27" max="27" width="35.7109375" style="138" customWidth="1"/>
    <col min="28" max="28" width="27.7109375" style="138" customWidth="1"/>
    <col min="29" max="29" width="18" style="138" customWidth="1"/>
    <col min="30" max="30" width="13.85546875" style="137" customWidth="1"/>
    <col min="31" max="31" width="35.7109375" style="137" customWidth="1"/>
    <col min="32" max="32" width="27.7109375" style="137" customWidth="1"/>
    <col min="33" max="33" width="13.5703125" style="137" customWidth="1"/>
    <col min="34" max="34" width="27.7109375" style="137" customWidth="1"/>
    <col min="35" max="35" width="11.42578125" style="137" customWidth="1"/>
    <col min="36" max="36" width="15.7109375" style="137" customWidth="1"/>
    <col min="37" max="37" width="11.42578125" style="137" customWidth="1"/>
    <col min="38" max="38" width="15.7109375" style="137" customWidth="1"/>
    <col min="39" max="39" width="50.7109375" style="137" customWidth="1"/>
    <col min="40" max="40" width="13.7109375" style="137" customWidth="1"/>
    <col min="41" max="41" width="35.7109375" style="137" customWidth="1"/>
    <col min="42" max="42" width="27.7109375" style="137" customWidth="1"/>
    <col min="43" max="43" width="17.140625" style="137" customWidth="1"/>
    <col min="44" max="44" width="27.7109375" style="137" customWidth="1"/>
    <col min="45" max="45" width="13.7109375" style="137" customWidth="1"/>
    <col min="46" max="46" width="15.7109375" style="137" customWidth="1"/>
    <col min="47" max="47" width="13.7109375" style="137" customWidth="1"/>
    <col min="48" max="48" width="15.7109375" style="137" customWidth="1"/>
    <col min="49" max="49" width="50.7109375" style="137" customWidth="1"/>
    <col min="50" max="50" width="13.7109375" style="137" customWidth="1"/>
    <col min="51" max="51" width="35.7109375" style="137" customWidth="1"/>
    <col min="52" max="52" width="27.7109375" style="137" customWidth="1"/>
    <col min="53" max="53" width="18" style="137" customWidth="1"/>
    <col min="54" max="54" width="27.7109375" style="137" customWidth="1"/>
    <col min="55" max="55" width="13.7109375" style="137" customWidth="1"/>
    <col min="56" max="56" width="15.7109375" style="137" customWidth="1"/>
    <col min="57" max="57" width="13.7109375" style="137" customWidth="1"/>
    <col min="58" max="58" width="15.7109375" style="137" customWidth="1"/>
    <col min="59" max="59" width="50.7109375" style="137" customWidth="1"/>
    <col min="60" max="60" width="13.7109375" style="137" customWidth="1"/>
    <col min="61" max="61" width="35.7109375" style="137" customWidth="1"/>
    <col min="62" max="62" width="27.7109375" style="137" customWidth="1"/>
    <col min="63" max="63" width="13.7109375" style="137" customWidth="1"/>
    <col min="64" max="64" width="27.7109375" style="137" customWidth="1"/>
    <col min="65" max="65" width="13.7109375" style="137" customWidth="1"/>
    <col min="66" max="66" width="15.7109375" style="137" customWidth="1"/>
    <col min="67" max="67" width="13.7109375" style="137" customWidth="1"/>
    <col min="68" max="68" width="15.7109375" style="137" customWidth="1"/>
    <col min="69" max="69" width="50.7109375" style="137" customWidth="1"/>
    <col min="70" max="70" width="13.7109375" style="137" customWidth="1"/>
    <col min="71" max="71" width="15.7109375" style="137" customWidth="1"/>
    <col min="72" max="72" width="15.42578125" style="137" customWidth="1"/>
    <col min="73" max="73" width="15.7109375" style="137" customWidth="1"/>
    <col min="74" max="74" width="13.7109375" style="137" customWidth="1"/>
    <col min="75" max="75" width="15.7109375" style="137" customWidth="1"/>
    <col min="76" max="76" width="13.7109375" style="137" customWidth="1"/>
    <col min="77" max="77" width="15.7109375" style="137" customWidth="1"/>
    <col min="78" max="78" width="17.5703125" style="137" hidden="1" customWidth="1"/>
    <col min="79" max="16384" width="11.42578125" style="137"/>
  </cols>
  <sheetData>
    <row r="1" spans="1:78" ht="22.5" customHeight="1" x14ac:dyDescent="0.2">
      <c r="A1" s="976"/>
      <c r="B1" s="977"/>
      <c r="C1" s="982" t="s">
        <v>246</v>
      </c>
      <c r="D1" s="983"/>
      <c r="E1" s="983"/>
      <c r="F1" s="983"/>
      <c r="G1" s="983"/>
      <c r="H1" s="983"/>
      <c r="I1" s="983"/>
      <c r="J1" s="984"/>
      <c r="K1" s="985" t="s">
        <v>247</v>
      </c>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6"/>
      <c r="BV1" s="997"/>
      <c r="BW1" s="998"/>
      <c r="BX1" s="998"/>
      <c r="BY1" s="998"/>
    </row>
    <row r="2" spans="1:78" ht="24" customHeight="1" x14ac:dyDescent="0.2">
      <c r="A2" s="978"/>
      <c r="B2" s="979"/>
      <c r="C2" s="1003" t="s">
        <v>248</v>
      </c>
      <c r="D2" s="1004"/>
      <c r="E2" s="1004"/>
      <c r="F2" s="1004"/>
      <c r="G2" s="1004"/>
      <c r="H2" s="1004"/>
      <c r="I2" s="1004"/>
      <c r="J2" s="1005"/>
      <c r="K2" s="1006" t="s">
        <v>254</v>
      </c>
      <c r="L2" s="1008" t="s">
        <v>250</v>
      </c>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t="s">
        <v>249</v>
      </c>
      <c r="BU2" s="1010">
        <v>2</v>
      </c>
      <c r="BV2" s="999"/>
      <c r="BW2" s="1000"/>
      <c r="BX2" s="1000"/>
      <c r="BY2" s="1000"/>
    </row>
    <row r="3" spans="1:78" ht="25.5" customHeight="1" thickBot="1" x14ac:dyDescent="0.25">
      <c r="A3" s="980"/>
      <c r="B3" s="981"/>
      <c r="C3" s="1012" t="s">
        <v>242</v>
      </c>
      <c r="D3" s="1013"/>
      <c r="E3" s="1013"/>
      <c r="F3" s="1013"/>
      <c r="G3" s="1013"/>
      <c r="H3" s="1013"/>
      <c r="I3" s="1013"/>
      <c r="J3" s="1014"/>
      <c r="K3" s="1007"/>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11"/>
      <c r="BV3" s="1001"/>
      <c r="BW3" s="1002"/>
      <c r="BX3" s="1002"/>
      <c r="BY3" s="1002"/>
    </row>
    <row r="4" spans="1:78" ht="15" x14ac:dyDescent="0.2">
      <c r="C4" s="138"/>
      <c r="D4" s="138"/>
      <c r="E4" s="138"/>
      <c r="G4" s="139"/>
      <c r="H4" s="139"/>
      <c r="I4" s="139"/>
      <c r="J4" s="139"/>
      <c r="K4" s="139"/>
      <c r="L4" s="139"/>
      <c r="M4" s="139"/>
      <c r="N4" s="139"/>
      <c r="O4" s="139"/>
      <c r="P4" s="139"/>
      <c r="Q4" s="139"/>
      <c r="R4" s="139"/>
    </row>
    <row r="5" spans="1:78" s="81" customFormat="1" ht="12.75" x14ac:dyDescent="0.2">
      <c r="A5" s="142" t="s">
        <v>346</v>
      </c>
      <c r="B5" s="22"/>
      <c r="C5" s="22"/>
      <c r="D5" s="22"/>
      <c r="E5" s="22"/>
      <c r="F5" s="22"/>
      <c r="G5" s="993"/>
      <c r="H5" s="993"/>
      <c r="I5" s="993"/>
      <c r="J5" s="993"/>
      <c r="K5" s="993"/>
      <c r="L5" s="993"/>
      <c r="M5" s="993"/>
      <c r="N5" s="993"/>
      <c r="O5" s="993"/>
      <c r="P5" s="993"/>
      <c r="Q5" s="993"/>
      <c r="R5" s="993"/>
      <c r="S5" s="22"/>
      <c r="T5" s="143"/>
      <c r="U5" s="22"/>
      <c r="V5" s="22"/>
      <c r="W5" s="22"/>
      <c r="X5" s="22"/>
      <c r="Y5" s="22"/>
      <c r="Z5" s="22"/>
      <c r="AA5" s="22"/>
      <c r="AB5" s="22"/>
      <c r="AC5" s="22"/>
    </row>
    <row r="6" spans="1:78" s="81" customFormat="1" ht="13.5" thickBot="1" x14ac:dyDescent="0.25">
      <c r="A6" s="142"/>
      <c r="B6" s="22"/>
      <c r="C6" s="22"/>
      <c r="D6" s="22"/>
      <c r="E6" s="22"/>
      <c r="F6" s="22"/>
      <c r="G6" s="175"/>
      <c r="H6" s="175"/>
      <c r="I6" s="175"/>
      <c r="J6" s="175"/>
      <c r="K6" s="175"/>
      <c r="L6" s="175"/>
      <c r="M6" s="175"/>
      <c r="N6" s="175"/>
      <c r="O6" s="175"/>
      <c r="P6" s="175"/>
      <c r="Q6" s="175"/>
      <c r="R6" s="175"/>
      <c r="S6" s="22"/>
      <c r="T6" s="143"/>
      <c r="U6" s="22"/>
      <c r="V6" s="22"/>
      <c r="W6" s="22"/>
      <c r="X6" s="22"/>
      <c r="Y6" s="22"/>
      <c r="Z6" s="22"/>
      <c r="AA6" s="22"/>
      <c r="AB6" s="22"/>
      <c r="AC6" s="22"/>
    </row>
    <row r="7" spans="1:78" s="81" customFormat="1" ht="30" customHeight="1" thickBot="1" x14ac:dyDescent="0.25">
      <c r="A7" s="948" t="s">
        <v>30</v>
      </c>
      <c r="B7" s="950" t="s">
        <v>31</v>
      </c>
      <c r="C7" s="950" t="s">
        <v>255</v>
      </c>
      <c r="D7" s="958" t="s">
        <v>255</v>
      </c>
      <c r="E7" s="958"/>
      <c r="F7" s="950" t="s">
        <v>57</v>
      </c>
      <c r="G7" s="950" t="s">
        <v>257</v>
      </c>
      <c r="H7" s="950" t="s">
        <v>256</v>
      </c>
      <c r="I7" s="950" t="s">
        <v>258</v>
      </c>
      <c r="J7" s="950" t="s">
        <v>32</v>
      </c>
      <c r="K7" s="950" t="s">
        <v>49</v>
      </c>
      <c r="L7" s="950" t="s">
        <v>35</v>
      </c>
      <c r="M7" s="950" t="s">
        <v>8</v>
      </c>
      <c r="N7" s="950" t="s">
        <v>33</v>
      </c>
      <c r="O7" s="950" t="s">
        <v>50</v>
      </c>
      <c r="P7" s="950" t="s">
        <v>151</v>
      </c>
      <c r="Q7" s="950" t="s">
        <v>5</v>
      </c>
      <c r="R7" s="950" t="s">
        <v>37</v>
      </c>
      <c r="S7" s="950" t="s">
        <v>36</v>
      </c>
      <c r="T7" s="950" t="s">
        <v>38</v>
      </c>
      <c r="U7" s="950" t="s">
        <v>39</v>
      </c>
      <c r="V7" s="950" t="s">
        <v>6</v>
      </c>
      <c r="W7" s="955" t="s">
        <v>1265</v>
      </c>
      <c r="X7" s="950" t="s">
        <v>0</v>
      </c>
      <c r="Y7" s="950" t="s">
        <v>34</v>
      </c>
      <c r="Z7" s="950" t="s">
        <v>8</v>
      </c>
      <c r="AA7" s="950" t="s">
        <v>188</v>
      </c>
      <c r="AB7" s="950" t="s">
        <v>151</v>
      </c>
      <c r="AC7" s="1029" t="s">
        <v>9</v>
      </c>
      <c r="AD7" s="988" t="s">
        <v>190</v>
      </c>
      <c r="AE7" s="988"/>
      <c r="AF7" s="988"/>
      <c r="AG7" s="988"/>
      <c r="AH7" s="988"/>
      <c r="AI7" s="988"/>
      <c r="AJ7" s="988"/>
      <c r="AK7" s="988"/>
      <c r="AL7" s="988"/>
      <c r="AM7" s="989"/>
      <c r="AN7" s="990" t="s">
        <v>192</v>
      </c>
      <c r="AO7" s="991"/>
      <c r="AP7" s="991"/>
      <c r="AQ7" s="991"/>
      <c r="AR7" s="991"/>
      <c r="AS7" s="991"/>
      <c r="AT7" s="991"/>
      <c r="AU7" s="991"/>
      <c r="AV7" s="991"/>
      <c r="AW7" s="992"/>
      <c r="AX7" s="987" t="s">
        <v>191</v>
      </c>
      <c r="AY7" s="988"/>
      <c r="AZ7" s="988"/>
      <c r="BA7" s="988"/>
      <c r="BB7" s="988"/>
      <c r="BC7" s="988"/>
      <c r="BD7" s="988"/>
      <c r="BE7" s="988"/>
      <c r="BF7" s="988"/>
      <c r="BG7" s="989"/>
      <c r="BH7" s="990" t="s">
        <v>193</v>
      </c>
      <c r="BI7" s="991"/>
      <c r="BJ7" s="991"/>
      <c r="BK7" s="991"/>
      <c r="BL7" s="991"/>
      <c r="BM7" s="991"/>
      <c r="BN7" s="991"/>
      <c r="BO7" s="991"/>
      <c r="BP7" s="991"/>
      <c r="BQ7" s="992"/>
      <c r="BR7" s="994" t="s">
        <v>1158</v>
      </c>
      <c r="BS7" s="995"/>
      <c r="BT7" s="995"/>
      <c r="BU7" s="995"/>
      <c r="BV7" s="995"/>
      <c r="BW7" s="995"/>
      <c r="BX7" s="995"/>
      <c r="BY7" s="996"/>
    </row>
    <row r="8" spans="1:78" s="174" customFormat="1" ht="39.75" customHeight="1" x14ac:dyDescent="0.2">
      <c r="A8" s="949"/>
      <c r="B8" s="951"/>
      <c r="C8" s="951"/>
      <c r="D8" s="773">
        <v>2</v>
      </c>
      <c r="E8" s="773">
        <v>3</v>
      </c>
      <c r="F8" s="951"/>
      <c r="G8" s="951"/>
      <c r="H8" s="951"/>
      <c r="I8" s="951"/>
      <c r="J8" s="951"/>
      <c r="K8" s="951"/>
      <c r="L8" s="951"/>
      <c r="M8" s="951"/>
      <c r="N8" s="951"/>
      <c r="O8" s="951"/>
      <c r="P8" s="951"/>
      <c r="Q8" s="951"/>
      <c r="R8" s="951"/>
      <c r="S8" s="951"/>
      <c r="T8" s="951"/>
      <c r="U8" s="951"/>
      <c r="V8" s="951"/>
      <c r="W8" s="956"/>
      <c r="X8" s="951"/>
      <c r="Y8" s="951"/>
      <c r="Z8" s="951"/>
      <c r="AA8" s="951"/>
      <c r="AB8" s="951"/>
      <c r="AC8" s="1030"/>
      <c r="AD8" s="180" t="s">
        <v>8</v>
      </c>
      <c r="AE8" s="149" t="s">
        <v>50</v>
      </c>
      <c r="AF8" s="149" t="s">
        <v>151</v>
      </c>
      <c r="AG8" s="149" t="s">
        <v>8</v>
      </c>
      <c r="AH8" s="149" t="s">
        <v>151</v>
      </c>
      <c r="AI8" s="149" t="s">
        <v>7</v>
      </c>
      <c r="AJ8" s="149" t="s">
        <v>10</v>
      </c>
      <c r="AK8" s="149" t="s">
        <v>7</v>
      </c>
      <c r="AL8" s="149" t="s">
        <v>10</v>
      </c>
      <c r="AM8" s="149" t="s">
        <v>189</v>
      </c>
      <c r="AN8" s="146" t="s">
        <v>8</v>
      </c>
      <c r="AO8" s="146" t="s">
        <v>50</v>
      </c>
      <c r="AP8" s="146" t="s">
        <v>151</v>
      </c>
      <c r="AQ8" s="146" t="s">
        <v>8</v>
      </c>
      <c r="AR8" s="146" t="s">
        <v>151</v>
      </c>
      <c r="AS8" s="146" t="s">
        <v>7</v>
      </c>
      <c r="AT8" s="146" t="s">
        <v>10</v>
      </c>
      <c r="AU8" s="146" t="s">
        <v>7</v>
      </c>
      <c r="AV8" s="146" t="s">
        <v>10</v>
      </c>
      <c r="AW8" s="146" t="s">
        <v>189</v>
      </c>
      <c r="AX8" s="149" t="s">
        <v>8</v>
      </c>
      <c r="AY8" s="149" t="s">
        <v>50</v>
      </c>
      <c r="AZ8" s="149" t="s">
        <v>151</v>
      </c>
      <c r="BA8" s="149" t="s">
        <v>8</v>
      </c>
      <c r="BB8" s="149" t="s">
        <v>151</v>
      </c>
      <c r="BC8" s="149" t="s">
        <v>7</v>
      </c>
      <c r="BD8" s="149" t="s">
        <v>10</v>
      </c>
      <c r="BE8" s="149" t="s">
        <v>7</v>
      </c>
      <c r="BF8" s="149" t="s">
        <v>10</v>
      </c>
      <c r="BG8" s="149" t="s">
        <v>189</v>
      </c>
      <c r="BH8" s="146" t="s">
        <v>8</v>
      </c>
      <c r="BI8" s="146" t="s">
        <v>50</v>
      </c>
      <c r="BJ8" s="146" t="s">
        <v>151</v>
      </c>
      <c r="BK8" s="146" t="s">
        <v>8</v>
      </c>
      <c r="BL8" s="146" t="s">
        <v>151</v>
      </c>
      <c r="BM8" s="146" t="s">
        <v>7</v>
      </c>
      <c r="BN8" s="146" t="s">
        <v>10</v>
      </c>
      <c r="BO8" s="146" t="s">
        <v>7</v>
      </c>
      <c r="BP8" s="146" t="s">
        <v>10</v>
      </c>
      <c r="BQ8" s="146" t="s">
        <v>189</v>
      </c>
      <c r="BR8" s="150" t="s">
        <v>7</v>
      </c>
      <c r="BS8" s="150" t="s">
        <v>10</v>
      </c>
      <c r="BT8" s="150" t="s">
        <v>7</v>
      </c>
      <c r="BU8" s="150" t="s">
        <v>10</v>
      </c>
      <c r="BV8" s="150" t="s">
        <v>7</v>
      </c>
      <c r="BW8" s="150" t="s">
        <v>10</v>
      </c>
      <c r="BX8" s="150" t="s">
        <v>7</v>
      </c>
      <c r="BY8" s="150" t="s">
        <v>10</v>
      </c>
    </row>
    <row r="9" spans="1:78" s="626" customFormat="1" ht="96" hidden="1" customHeight="1" x14ac:dyDescent="0.2">
      <c r="A9" s="917">
        <v>11500</v>
      </c>
      <c r="B9" s="918" t="s">
        <v>13</v>
      </c>
      <c r="C9" s="918" t="s">
        <v>330</v>
      </c>
      <c r="D9" s="919" t="s">
        <v>1023</v>
      </c>
      <c r="E9" s="919" t="s">
        <v>1023</v>
      </c>
      <c r="F9" s="920" t="s">
        <v>95</v>
      </c>
      <c r="G9" s="918" t="s">
        <v>344</v>
      </c>
      <c r="H9" s="920" t="s">
        <v>110</v>
      </c>
      <c r="I9" s="918" t="s">
        <v>339</v>
      </c>
      <c r="J9" s="1047" t="s">
        <v>564</v>
      </c>
      <c r="K9" s="1041" t="s">
        <v>1478</v>
      </c>
      <c r="L9" s="814" t="s">
        <v>51</v>
      </c>
      <c r="M9" s="825">
        <v>1</v>
      </c>
      <c r="N9" s="974" t="s">
        <v>109</v>
      </c>
      <c r="O9" s="970" t="s">
        <v>1477</v>
      </c>
      <c r="P9" s="1044">
        <v>40053470870</v>
      </c>
      <c r="Q9" s="1049">
        <v>1</v>
      </c>
      <c r="R9" s="1032" t="s">
        <v>17</v>
      </c>
      <c r="S9" s="1032" t="s">
        <v>26</v>
      </c>
      <c r="T9" s="1032" t="s">
        <v>634</v>
      </c>
      <c r="U9" s="1032" t="s">
        <v>637</v>
      </c>
      <c r="V9" s="1032" t="s">
        <v>71</v>
      </c>
      <c r="W9" s="1032" t="s">
        <v>1272</v>
      </c>
      <c r="X9" s="811" t="s">
        <v>1784</v>
      </c>
      <c r="Y9" s="1027" t="s">
        <v>204</v>
      </c>
      <c r="Z9" s="898">
        <v>1</v>
      </c>
      <c r="AA9" s="1027" t="str">
        <f>+O9</f>
        <v>Validar la auditoría de los precierres de paquetes de recobros y reclamaciones entregados por la firma auditora. partir de enero de 2019</v>
      </c>
      <c r="AB9" s="1035">
        <f>+P9</f>
        <v>40053470870</v>
      </c>
      <c r="AC9" s="816" t="s">
        <v>46</v>
      </c>
      <c r="AD9" s="818">
        <v>0.25</v>
      </c>
      <c r="AE9" s="1027" t="str">
        <f>+AA9</f>
        <v>Validar la auditoría de los precierres de paquetes de recobros y reclamaciones entregados por la firma auditora. partir de enero de 2019</v>
      </c>
      <c r="AF9" s="1024">
        <f>+AB9/4</f>
        <v>10013367717.5</v>
      </c>
      <c r="AG9" s="899">
        <f>(109/7949088)*AD9</f>
        <v>3.4280662133819627E-6</v>
      </c>
      <c r="AH9" s="1038">
        <v>0</v>
      </c>
      <c r="AI9" s="908">
        <f>+(AG9/AD9)</f>
        <v>1.3712264853527851E-5</v>
      </c>
      <c r="AJ9" s="952">
        <f>+(AH9/AF9)</f>
        <v>0</v>
      </c>
      <c r="AK9" s="908">
        <f>+(AG9/Z9)</f>
        <v>3.4280662133819627E-6</v>
      </c>
      <c r="AL9" s="952">
        <f>+(AH9/AB9)</f>
        <v>0</v>
      </c>
      <c r="AM9" s="900" t="s">
        <v>1328</v>
      </c>
      <c r="AN9" s="818">
        <v>0.25</v>
      </c>
      <c r="AO9" s="1027" t="str">
        <f>+AA9</f>
        <v>Validar la auditoría de los precierres de paquetes de recobros y reclamaciones entregados por la firma auditora. partir de enero de 2019</v>
      </c>
      <c r="AP9" s="1024">
        <f>+AB9/4</f>
        <v>10013367717.5</v>
      </c>
      <c r="AQ9" s="901"/>
      <c r="AR9" s="1024">
        <v>0</v>
      </c>
      <c r="AS9" s="908">
        <f>+(AQ9/AN9)</f>
        <v>0</v>
      </c>
      <c r="AT9" s="952">
        <f>+(AR9/AP9)</f>
        <v>0</v>
      </c>
      <c r="AU9" s="908">
        <f>+(AQ9+AG9)/Z9</f>
        <v>3.4280662133819627E-6</v>
      </c>
      <c r="AV9" s="952">
        <f>+(AR9+AH9)/AB9</f>
        <v>0</v>
      </c>
      <c r="AW9" s="902"/>
      <c r="AX9" s="818">
        <v>0.25</v>
      </c>
      <c r="AY9" s="1027" t="str">
        <f>+AA9</f>
        <v>Validar la auditoría de los precierres de paquetes de recobros y reclamaciones entregados por la firma auditora. partir de enero de 2019</v>
      </c>
      <c r="AZ9" s="1024">
        <f>+AB9/4</f>
        <v>10013367717.5</v>
      </c>
      <c r="BA9" s="824"/>
      <c r="BB9" s="824"/>
      <c r="BC9" s="908">
        <f>+(BA9/AX9)</f>
        <v>0</v>
      </c>
      <c r="BD9" s="952">
        <f>+(BB9/AZ9)</f>
        <v>0</v>
      </c>
      <c r="BE9" s="908">
        <f>+(AQ9+AG9+BA9)/Z9</f>
        <v>3.4280662133819627E-6</v>
      </c>
      <c r="BF9" s="952">
        <f>+(AR9+AH9+BB9)/AB9</f>
        <v>0</v>
      </c>
      <c r="BG9" s="820"/>
      <c r="BH9" s="818">
        <v>0.25</v>
      </c>
      <c r="BI9" s="1027" t="str">
        <f>+AA9</f>
        <v>Validar la auditoría de los precierres de paquetes de recobros y reclamaciones entregados por la firma auditora. partir de enero de 2019</v>
      </c>
      <c r="BJ9" s="1024">
        <f>+AB9/4</f>
        <v>10013367717.5</v>
      </c>
      <c r="BK9" s="824"/>
      <c r="BL9" s="824"/>
      <c r="BM9" s="908">
        <f>+(BK9/BH9)</f>
        <v>0</v>
      </c>
      <c r="BN9" s="952">
        <f>+(BL9/BJ9)</f>
        <v>0</v>
      </c>
      <c r="BO9" s="908">
        <f>+(AQ9+AG9+BA9+BK9)/Z9</f>
        <v>3.4280662133819627E-6</v>
      </c>
      <c r="BP9" s="952">
        <f>+(AR9+AH9+BB9+BL9)/AB9</f>
        <v>0</v>
      </c>
      <c r="BQ9" s="898"/>
      <c r="BR9" s="909">
        <f>IF(AND(AD9=0,AG9=0),"No Prog ni Ejec",IF(AD9=0,CONCATENATE("No Prog, Ejec=  ",AG9),AG9/AD9))</f>
        <v>1.3712264853527851E-5</v>
      </c>
      <c r="BS9" s="1019">
        <f>IF(AND(AF9=0,AH9=0),"No Prog ni Ejec",IF(AF9=0,CONCATENATE("No Prog, Ejec=  ",AH9),AH9/AF9))</f>
        <v>0</v>
      </c>
      <c r="BT9" s="909">
        <f>IF(AND(AN9=0,AQ9=0),"No Prog ni Ejec",IF(AN9=0,CONCATENATE("No Prog, Ejec=  ",AQ9),AQ9/AN9))</f>
        <v>0</v>
      </c>
      <c r="BU9" s="1019">
        <f>IF(AND(AP9=0,AR9=0),"No Prog ni Ejec",IF(AP9=0,CONCATENATE("No Prog, Ejec=  ",AR9),AR9/AP9))</f>
        <v>0</v>
      </c>
      <c r="BV9" s="909">
        <f>IF(AND(AX9=0,BA9=0),"No Prog ni Ejec",IF(AX9=0,CONCATENATE("No Prog, Ejec=  ",BA9),BA9/AX9))</f>
        <v>0</v>
      </c>
      <c r="BW9" s="1019">
        <f>IF(AND(AZ9=0,BB9=0),"No Prog ni Ejec",IF(AZ9=0,CONCATENATE("No Prog, Ejec=  ",BB9),BB9/AZ9))</f>
        <v>0</v>
      </c>
      <c r="BX9" s="909">
        <f>IF(AND(BH9=0,BK9=0),"No Prog ni Ejec",IF(BH9=0,CONCATENATE("No Prog, Ejec=  ",BK9),BK9/BH9))</f>
        <v>0</v>
      </c>
      <c r="BY9" s="1021">
        <f>IF(AND(BJ9=0,BL9=0),"No Prog ni Ejec",IF(BJ9=0,CONCATENATE("No Prog, Ejec=  ",BL9),BL9/BJ9))</f>
        <v>0</v>
      </c>
      <c r="BZ9" s="903">
        <f>+AB9-AF9-AP9-AZ9-BJ9</f>
        <v>0</v>
      </c>
    </row>
    <row r="10" spans="1:78" s="626" customFormat="1" ht="96" hidden="1" customHeight="1" x14ac:dyDescent="0.2">
      <c r="A10" s="828">
        <v>11500</v>
      </c>
      <c r="B10" s="689" t="s">
        <v>13</v>
      </c>
      <c r="C10" s="689" t="s">
        <v>330</v>
      </c>
      <c r="D10" s="606" t="s">
        <v>1023</v>
      </c>
      <c r="E10" s="606" t="s">
        <v>1023</v>
      </c>
      <c r="F10" s="694" t="s">
        <v>95</v>
      </c>
      <c r="G10" s="689" t="s">
        <v>344</v>
      </c>
      <c r="H10" s="694" t="s">
        <v>110</v>
      </c>
      <c r="I10" s="689" t="s">
        <v>339</v>
      </c>
      <c r="J10" s="1048"/>
      <c r="K10" s="1042"/>
      <c r="L10" s="717" t="s">
        <v>51</v>
      </c>
      <c r="M10" s="911" t="s">
        <v>1080</v>
      </c>
      <c r="N10" s="975"/>
      <c r="O10" s="971"/>
      <c r="P10" s="1045"/>
      <c r="Q10" s="1050"/>
      <c r="R10" s="1033"/>
      <c r="S10" s="1033"/>
      <c r="T10" s="1033"/>
      <c r="U10" s="1033"/>
      <c r="V10" s="1033"/>
      <c r="W10" s="1033"/>
      <c r="X10" s="719" t="s">
        <v>1785</v>
      </c>
      <c r="Y10" s="1028"/>
      <c r="Z10" s="907" t="s">
        <v>1080</v>
      </c>
      <c r="AA10" s="1028"/>
      <c r="AB10" s="1036"/>
      <c r="AC10" s="630" t="s">
        <v>46</v>
      </c>
      <c r="AD10" s="907" t="s">
        <v>1080</v>
      </c>
      <c r="AE10" s="1028"/>
      <c r="AF10" s="1025"/>
      <c r="AG10" s="916">
        <v>0</v>
      </c>
      <c r="AH10" s="1039"/>
      <c r="AI10" s="692" t="e">
        <f>+(AG10/AD10)</f>
        <v>#VALUE!</v>
      </c>
      <c r="AJ10" s="953"/>
      <c r="AK10" s="692" t="e">
        <f>+(AG10/Z10)</f>
        <v>#VALUE!</v>
      </c>
      <c r="AL10" s="953"/>
      <c r="AM10" s="913" t="s">
        <v>1329</v>
      </c>
      <c r="AN10" s="631" t="s">
        <v>1080</v>
      </c>
      <c r="AO10" s="1028"/>
      <c r="AP10" s="1025"/>
      <c r="AQ10" s="914"/>
      <c r="AR10" s="1025"/>
      <c r="AS10" s="692" t="e">
        <f>+(AQ10/AN10)</f>
        <v>#VALUE!</v>
      </c>
      <c r="AT10" s="953"/>
      <c r="AU10" s="692" t="e">
        <f>+(AQ10+AG10)/Z10</f>
        <v>#VALUE!</v>
      </c>
      <c r="AV10" s="953"/>
      <c r="AW10" s="906"/>
      <c r="AX10" s="631" t="s">
        <v>1080</v>
      </c>
      <c r="AY10" s="1028"/>
      <c r="AZ10" s="1025"/>
      <c r="BA10" s="915"/>
      <c r="BB10" s="915"/>
      <c r="BC10" s="692" t="e">
        <f>+(BA10/AX10)</f>
        <v>#VALUE!</v>
      </c>
      <c r="BD10" s="953"/>
      <c r="BE10" s="692" t="e">
        <f>+(AQ10+AG10+BA10)/Z10</f>
        <v>#VALUE!</v>
      </c>
      <c r="BF10" s="953"/>
      <c r="BG10" s="907"/>
      <c r="BH10" s="631" t="s">
        <v>1080</v>
      </c>
      <c r="BI10" s="1028"/>
      <c r="BJ10" s="1025"/>
      <c r="BK10" s="915"/>
      <c r="BL10" s="915"/>
      <c r="BM10" s="692" t="e">
        <f>+(BK10/BH10)</f>
        <v>#VALUE!</v>
      </c>
      <c r="BN10" s="953"/>
      <c r="BO10" s="692" t="e">
        <f>+(AQ10+AG10+BA10+BK10)/Z10</f>
        <v>#VALUE!</v>
      </c>
      <c r="BP10" s="953"/>
      <c r="BQ10" s="912"/>
      <c r="BR10" s="699" t="e">
        <f>IF(AND(AD10=0,AG10=0),"No Prog ni Ejec",IF(AD10=0,CONCATENATE("No Prog, Ejec=  ",AG10),AG10/AD10))</f>
        <v>#VALUE!</v>
      </c>
      <c r="BS10" s="1020"/>
      <c r="BT10" s="699" t="e">
        <f>IF(AND(AN10=0,AQ10=0),"No Prog ni Ejec",IF(AN10=0,CONCATENATE("No Prog, Ejec=  ",AQ10),AQ10/AN10))</f>
        <v>#VALUE!</v>
      </c>
      <c r="BU10" s="1020"/>
      <c r="BV10" s="699" t="e">
        <f>IF(AND(AX10=0,BA10=0),"No Prog ni Ejec",IF(AX10=0,CONCATENATE("No Prog, Ejec=  ",BA10),BA10/AX10))</f>
        <v>#VALUE!</v>
      </c>
      <c r="BW10" s="1020"/>
      <c r="BX10" s="699" t="e">
        <f>IF(AND(BH10=0,BK10=0),"No Prog ni Ejec",IF(BH10=0,CONCATENATE("No Prog, Ejec=  ",BK10),BK10/BH10))</f>
        <v>#VALUE!</v>
      </c>
      <c r="BY10" s="1022"/>
      <c r="BZ10" s="903"/>
    </row>
    <row r="11" spans="1:78" s="81" customFormat="1" ht="142.5" customHeight="1" x14ac:dyDescent="0.2">
      <c r="A11" s="785">
        <v>11500</v>
      </c>
      <c r="B11" s="693" t="s">
        <v>13</v>
      </c>
      <c r="C11" s="693" t="s">
        <v>330</v>
      </c>
      <c r="D11" s="129" t="s">
        <v>1023</v>
      </c>
      <c r="E11" s="129" t="s">
        <v>1023</v>
      </c>
      <c r="F11" s="695" t="s">
        <v>95</v>
      </c>
      <c r="G11" s="693" t="s">
        <v>344</v>
      </c>
      <c r="H11" s="695" t="s">
        <v>110</v>
      </c>
      <c r="I11" s="693" t="s">
        <v>339</v>
      </c>
      <c r="J11" s="1048"/>
      <c r="K11" s="1042"/>
      <c r="L11" s="596" t="s">
        <v>1079</v>
      </c>
      <c r="M11" s="910">
        <v>0.75</v>
      </c>
      <c r="N11" s="975"/>
      <c r="O11" s="971"/>
      <c r="P11" s="1045"/>
      <c r="Q11" s="1050"/>
      <c r="R11" s="1033"/>
      <c r="S11" s="1033"/>
      <c r="T11" s="1033"/>
      <c r="U11" s="1033"/>
      <c r="V11" s="1033"/>
      <c r="W11" s="1033"/>
      <c r="X11" s="686" t="s">
        <v>1479</v>
      </c>
      <c r="Y11" s="1028"/>
      <c r="Z11" s="904">
        <v>0.75</v>
      </c>
      <c r="AA11" s="1028"/>
      <c r="AB11" s="1036"/>
      <c r="AC11" s="176" t="s">
        <v>46</v>
      </c>
      <c r="AD11" s="905" t="s">
        <v>204</v>
      </c>
      <c r="AE11" s="1028"/>
      <c r="AF11" s="1025"/>
      <c r="AG11" s="896" t="s">
        <v>204</v>
      </c>
      <c r="AH11" s="1039"/>
      <c r="AI11" s="690" t="e">
        <f>+(AG11/AD11)</f>
        <v>#VALUE!</v>
      </c>
      <c r="AJ11" s="953"/>
      <c r="AK11" s="685" t="e">
        <f>+(AG11/Z11)</f>
        <v>#VALUE!</v>
      </c>
      <c r="AL11" s="953"/>
      <c r="AM11" s="897"/>
      <c r="AN11" s="905">
        <v>0.25</v>
      </c>
      <c r="AO11" s="1028"/>
      <c r="AP11" s="1025"/>
      <c r="AQ11" s="688">
        <f>(3/3)*25%</f>
        <v>0.25</v>
      </c>
      <c r="AR11" s="1025"/>
      <c r="AS11" s="685">
        <f>+(AQ11/AN11)</f>
        <v>1</v>
      </c>
      <c r="AT11" s="953"/>
      <c r="AU11" s="685">
        <f>+(AQ11)/Z11</f>
        <v>0.33333333333333331</v>
      </c>
      <c r="AV11" s="953"/>
      <c r="AW11" s="939" t="s">
        <v>1708</v>
      </c>
      <c r="AX11" s="905">
        <v>0.25</v>
      </c>
      <c r="AY11" s="1028"/>
      <c r="AZ11" s="1025"/>
      <c r="BA11" s="687"/>
      <c r="BB11" s="687"/>
      <c r="BC11" s="685">
        <f>+(BA11/AX11)</f>
        <v>0</v>
      </c>
      <c r="BD11" s="953"/>
      <c r="BE11" s="685">
        <f>+(AQ11+BA11)/Z11</f>
        <v>0.33333333333333331</v>
      </c>
      <c r="BF11" s="953"/>
      <c r="BG11" s="685"/>
      <c r="BH11" s="905">
        <v>0.25</v>
      </c>
      <c r="BI11" s="1028"/>
      <c r="BJ11" s="1025"/>
      <c r="BK11" s="687"/>
      <c r="BL11" s="687"/>
      <c r="BM11" s="690">
        <f>+(BK11/BH11)</f>
        <v>0</v>
      </c>
      <c r="BN11" s="953"/>
      <c r="BO11" s="690">
        <f>+(AQ11+BA11+BK11)/Z11</f>
        <v>0.33333333333333331</v>
      </c>
      <c r="BP11" s="953"/>
      <c r="BQ11" s="895"/>
      <c r="BR11" s="699" t="e">
        <f>IF(AND(AD11=0,AG11=0),"No Prog ni Ejec",IF(AD11=0,CONCATENATE("No Prog, Ejec=  ",AG11),AG11/AD11))</f>
        <v>#VALUE!</v>
      </c>
      <c r="BS11" s="1020"/>
      <c r="BT11" s="699">
        <f>IF(AND(AN11=0,AQ11=0),"No Prog ni Ejec",IF(AN11=0,CONCATENATE("No Prog, Ejec=  ",AQ11),AQ11/AN11))</f>
        <v>1</v>
      </c>
      <c r="BU11" s="1020"/>
      <c r="BV11" s="699">
        <f>IF(AND(AX11=0,BA11=0),"No Prog ni Ejec",IF(AX11=0,CONCATENATE("No Prog, Ejec=  ",BA11),BA11/AX11))</f>
        <v>0</v>
      </c>
      <c r="BW11" s="1020"/>
      <c r="BX11" s="699">
        <f>IF(AND(BH11=0,BK11=0),"No Prog ni Ejec",IF(BH11=0,CONCATENATE("No Prog, Ejec=  ",BK11),BK11/BH11))</f>
        <v>0</v>
      </c>
      <c r="BY11" s="1022"/>
      <c r="BZ11" s="157"/>
    </row>
    <row r="12" spans="1:78" s="81" customFormat="1" ht="121.5" customHeight="1" x14ac:dyDescent="0.2">
      <c r="A12" s="785">
        <v>11500</v>
      </c>
      <c r="B12" s="693" t="s">
        <v>13</v>
      </c>
      <c r="C12" s="693" t="s">
        <v>330</v>
      </c>
      <c r="D12" s="129" t="s">
        <v>1023</v>
      </c>
      <c r="E12" s="129" t="s">
        <v>1023</v>
      </c>
      <c r="F12" s="695" t="s">
        <v>95</v>
      </c>
      <c r="G12" s="693" t="s">
        <v>344</v>
      </c>
      <c r="H12" s="695" t="s">
        <v>110</v>
      </c>
      <c r="I12" s="693" t="s">
        <v>339</v>
      </c>
      <c r="J12" s="973"/>
      <c r="K12" s="1043"/>
      <c r="L12" s="596" t="s">
        <v>1079</v>
      </c>
      <c r="M12" s="627">
        <v>0.75</v>
      </c>
      <c r="N12" s="968"/>
      <c r="O12" s="972"/>
      <c r="P12" s="1046"/>
      <c r="Q12" s="1051"/>
      <c r="R12" s="1034"/>
      <c r="S12" s="1034"/>
      <c r="T12" s="1034"/>
      <c r="U12" s="1034"/>
      <c r="V12" s="1034"/>
      <c r="W12" s="1034"/>
      <c r="X12" s="702" t="s">
        <v>1480</v>
      </c>
      <c r="Y12" s="959"/>
      <c r="Z12" s="627">
        <v>0.75</v>
      </c>
      <c r="AA12" s="959"/>
      <c r="AB12" s="1037"/>
      <c r="AC12" s="700" t="s">
        <v>46</v>
      </c>
      <c r="AD12" s="627" t="s">
        <v>204</v>
      </c>
      <c r="AE12" s="959"/>
      <c r="AF12" s="1016"/>
      <c r="AG12" s="485" t="s">
        <v>204</v>
      </c>
      <c r="AH12" s="1040"/>
      <c r="AI12" s="690" t="e">
        <f>+(AG12/AD12)</f>
        <v>#VALUE!</v>
      </c>
      <c r="AJ12" s="954"/>
      <c r="AK12" s="690" t="e">
        <f>+(AG12/Z12)</f>
        <v>#VALUE!</v>
      </c>
      <c r="AL12" s="954"/>
      <c r="AM12" s="488"/>
      <c r="AN12" s="627">
        <v>0.25</v>
      </c>
      <c r="AO12" s="959"/>
      <c r="AP12" s="1016"/>
      <c r="AQ12" s="514">
        <f>(13/13)*25%</f>
        <v>0.25</v>
      </c>
      <c r="AR12" s="1016"/>
      <c r="AS12" s="690">
        <f>+(AQ12/AN12)</f>
        <v>1</v>
      </c>
      <c r="AT12" s="954"/>
      <c r="AU12" s="690">
        <f>+(AQ12)/Z12</f>
        <v>0.33333333333333331</v>
      </c>
      <c r="AV12" s="954"/>
      <c r="AW12" s="516" t="s">
        <v>1709</v>
      </c>
      <c r="AX12" s="627">
        <v>0.25</v>
      </c>
      <c r="AY12" s="959"/>
      <c r="AZ12" s="1016"/>
      <c r="BA12" s="134"/>
      <c r="BB12" s="1026"/>
      <c r="BC12" s="690">
        <f>+(BA12/AX12)</f>
        <v>0</v>
      </c>
      <c r="BD12" s="954"/>
      <c r="BE12" s="690">
        <f>+(AQ12+BA12)/Z12</f>
        <v>0.33333333333333331</v>
      </c>
      <c r="BF12" s="954"/>
      <c r="BG12" s="690"/>
      <c r="BH12" s="627">
        <v>0.25</v>
      </c>
      <c r="BI12" s="959"/>
      <c r="BJ12" s="1016"/>
      <c r="BK12" s="134"/>
      <c r="BL12" s="1026"/>
      <c r="BM12" s="690">
        <f>+(BK12/BH12)</f>
        <v>0</v>
      </c>
      <c r="BN12" s="954"/>
      <c r="BO12" s="690">
        <f>+(AQ12+BA12+BK12)/Z12</f>
        <v>0.33333333333333331</v>
      </c>
      <c r="BP12" s="954"/>
      <c r="BQ12" s="68"/>
      <c r="BR12" s="697" t="e">
        <f>IF(AND(AD12=0,AG12=0),"No Prog ni Ejec",IF(AD12=0,CONCATENATE("No Prog, Ejec=  ",AG12),AG12/AD12))</f>
        <v>#VALUE!</v>
      </c>
      <c r="BS12" s="966"/>
      <c r="BT12" s="697">
        <f>IF(AND(AN12=0,AQ12=0),"No Prog ni Ejec",IF(AN12=0,CONCATENATE("No Prog, Ejec=  ",AQ12),AQ12/AN12))</f>
        <v>1</v>
      </c>
      <c r="BU12" s="966"/>
      <c r="BV12" s="697">
        <f>IF(AND(AX12=0,BA12=0),"No Prog ni Ejec",IF(AX12=0,CONCATENATE("No Prog, Ejec=  ",BA12),BA12/AX12))</f>
        <v>0</v>
      </c>
      <c r="BW12" s="966"/>
      <c r="BX12" s="697">
        <f>IF(AND(BH12=0,BK12=0),"No Prog ni Ejec",IF(BH12=0,CONCATENATE("No Prog, Ejec=  ",BK12),BK12/BH12))</f>
        <v>0</v>
      </c>
      <c r="BY12" s="1023"/>
      <c r="BZ12" s="157">
        <f t="shared" ref="BZ12:BZ38" si="0">+AB12-AF12-AP12-AZ12-BJ12</f>
        <v>0</v>
      </c>
    </row>
    <row r="13" spans="1:78" s="81" customFormat="1" ht="121.5" customHeight="1" x14ac:dyDescent="0.2">
      <c r="A13" s="785">
        <v>11500</v>
      </c>
      <c r="B13" s="693" t="s">
        <v>13</v>
      </c>
      <c r="C13" s="693" t="s">
        <v>330</v>
      </c>
      <c r="D13" s="129" t="s">
        <v>1023</v>
      </c>
      <c r="E13" s="129" t="s">
        <v>1023</v>
      </c>
      <c r="F13" s="695" t="s">
        <v>95</v>
      </c>
      <c r="G13" s="693" t="s">
        <v>344</v>
      </c>
      <c r="H13" s="695" t="s">
        <v>110</v>
      </c>
      <c r="I13" s="693" t="s">
        <v>339</v>
      </c>
      <c r="J13" s="973"/>
      <c r="K13" s="1043"/>
      <c r="L13" s="596" t="s">
        <v>391</v>
      </c>
      <c r="M13" s="597">
        <v>6</v>
      </c>
      <c r="N13" s="595" t="s">
        <v>1484</v>
      </c>
      <c r="O13" s="702" t="s">
        <v>1485</v>
      </c>
      <c r="P13" s="1046"/>
      <c r="Q13" s="1051"/>
      <c r="R13" s="1034"/>
      <c r="S13" s="1034"/>
      <c r="T13" s="1034"/>
      <c r="U13" s="1034"/>
      <c r="V13" s="1034"/>
      <c r="W13" s="1034"/>
      <c r="X13" s="702" t="s">
        <v>1486</v>
      </c>
      <c r="Y13" s="693" t="s">
        <v>204</v>
      </c>
      <c r="Z13" s="597">
        <v>6</v>
      </c>
      <c r="AA13" s="693" t="str">
        <f>+O13</f>
        <v>Efectuar seguimiento a la entrega de paquetes de recobros y reclamaciones.</v>
      </c>
      <c r="AB13" s="1037"/>
      <c r="AC13" s="700" t="s">
        <v>46</v>
      </c>
      <c r="AD13" s="597" t="s">
        <v>204</v>
      </c>
      <c r="AE13" s="693" t="str">
        <f>+AA13</f>
        <v>Efectuar seguimiento a la entrega de paquetes de recobros y reclamaciones.</v>
      </c>
      <c r="AF13" s="1016"/>
      <c r="AG13" s="486" t="s">
        <v>204</v>
      </c>
      <c r="AH13" s="1040"/>
      <c r="AI13" s="690" t="e">
        <f t="shared" ref="AI13" si="1">+(AG13/AD13)</f>
        <v>#VALUE!</v>
      </c>
      <c r="AJ13" s="954"/>
      <c r="AK13" s="690" t="e">
        <f t="shared" ref="AK13" si="2">+(AG13/Z13)</f>
        <v>#VALUE!</v>
      </c>
      <c r="AL13" s="954"/>
      <c r="AM13" s="489"/>
      <c r="AN13" s="595">
        <v>2</v>
      </c>
      <c r="AO13" s="693" t="str">
        <f>+AA13</f>
        <v>Efectuar seguimiento a la entrega de paquetes de recobros y reclamaciones.</v>
      </c>
      <c r="AP13" s="1016"/>
      <c r="AQ13" s="894">
        <v>2</v>
      </c>
      <c r="AR13" s="1016"/>
      <c r="AS13" s="690">
        <f t="shared" ref="AS13" si="3">+(AQ13/AN13)</f>
        <v>1</v>
      </c>
      <c r="AT13" s="954"/>
      <c r="AU13" s="690">
        <f>+(AQ13)/Z13</f>
        <v>0.33333333333333331</v>
      </c>
      <c r="AV13" s="954"/>
      <c r="AW13" s="516" t="s">
        <v>1710</v>
      </c>
      <c r="AX13" s="595">
        <v>2</v>
      </c>
      <c r="AY13" s="693" t="str">
        <f>+AA13</f>
        <v>Efectuar seguimiento a la entrega de paquetes de recobros y reclamaciones.</v>
      </c>
      <c r="AZ13" s="1016"/>
      <c r="BA13" s="134"/>
      <c r="BB13" s="1026"/>
      <c r="BC13" s="690">
        <f t="shared" ref="BC13" si="4">+(BA13/AX13)</f>
        <v>0</v>
      </c>
      <c r="BD13" s="954"/>
      <c r="BE13" s="690">
        <f>+(AQ13+BA13)/Z13</f>
        <v>0.33333333333333331</v>
      </c>
      <c r="BF13" s="954"/>
      <c r="BG13" s="690"/>
      <c r="BH13" s="595">
        <v>2</v>
      </c>
      <c r="BI13" s="693" t="str">
        <f>+AA13</f>
        <v>Efectuar seguimiento a la entrega de paquetes de recobros y reclamaciones.</v>
      </c>
      <c r="BJ13" s="1016"/>
      <c r="BK13" s="134"/>
      <c r="BL13" s="1026"/>
      <c r="BM13" s="690">
        <f t="shared" ref="BM13" si="5">+(BK13/BH13)</f>
        <v>0</v>
      </c>
      <c r="BN13" s="954"/>
      <c r="BO13" s="690">
        <f>+(AQ13+BA13+BK13)/Z13</f>
        <v>0.33333333333333331</v>
      </c>
      <c r="BP13" s="954"/>
      <c r="BQ13" s="68"/>
      <c r="BR13" s="697" t="e">
        <f t="shared" ref="BR13" si="6">IF(AND(AD13=0,AG13=0),"No Prog ni Ejec",IF(AD13=0,CONCATENATE("No Prog, Ejec=  ",AG13),AG13/AD13))</f>
        <v>#VALUE!</v>
      </c>
      <c r="BS13" s="966"/>
      <c r="BT13" s="697">
        <f t="shared" ref="BT13" si="7">IF(AND(AN13=0,AQ13=0),"No Prog ni Ejec",IF(AN13=0,CONCATENATE("No Prog, Ejec=  ",AQ13),AQ13/AN13))</f>
        <v>1</v>
      </c>
      <c r="BU13" s="966"/>
      <c r="BV13" s="697">
        <f t="shared" ref="BV13" si="8">IF(AND(AX13=0,BA13=0),"No Prog ni Ejec",IF(AX13=0,CONCATENATE("No Prog, Ejec=  ",BA13),BA13/AX13))</f>
        <v>0</v>
      </c>
      <c r="BW13" s="966"/>
      <c r="BX13" s="697">
        <f t="shared" ref="BX13" si="9">IF(AND(BH13=0,BK13=0),"No Prog ni Ejec",IF(BH13=0,CONCATENATE("No Prog, Ejec=  ",BK13),BK13/BH13))</f>
        <v>0</v>
      </c>
      <c r="BY13" s="1023"/>
      <c r="BZ13" s="157"/>
    </row>
    <row r="14" spans="1:78" s="70" customFormat="1" ht="153" x14ac:dyDescent="0.2">
      <c r="A14" s="785">
        <v>11500</v>
      </c>
      <c r="B14" s="693" t="s">
        <v>13</v>
      </c>
      <c r="C14" s="693" t="s">
        <v>330</v>
      </c>
      <c r="D14" s="129" t="s">
        <v>1023</v>
      </c>
      <c r="E14" s="129" t="s">
        <v>1023</v>
      </c>
      <c r="F14" s="695" t="s">
        <v>95</v>
      </c>
      <c r="G14" s="693" t="s">
        <v>345</v>
      </c>
      <c r="H14" s="695" t="s">
        <v>110</v>
      </c>
      <c r="I14" s="693" t="s">
        <v>339</v>
      </c>
      <c r="J14" s="695" t="s">
        <v>566</v>
      </c>
      <c r="K14" s="702" t="s">
        <v>1488</v>
      </c>
      <c r="L14" s="716" t="s">
        <v>51</v>
      </c>
      <c r="M14" s="698">
        <v>1</v>
      </c>
      <c r="N14" s="695" t="s">
        <v>565</v>
      </c>
      <c r="O14" s="693" t="s">
        <v>358</v>
      </c>
      <c r="P14" s="132">
        <f>48960000*2</f>
        <v>97920000</v>
      </c>
      <c r="Q14" s="706">
        <v>1</v>
      </c>
      <c r="R14" s="693" t="s">
        <v>18</v>
      </c>
      <c r="S14" s="693" t="s">
        <v>24</v>
      </c>
      <c r="T14" s="693" t="s">
        <v>634</v>
      </c>
      <c r="U14" s="693" t="s">
        <v>637</v>
      </c>
      <c r="V14" s="693" t="s">
        <v>71</v>
      </c>
      <c r="W14" s="693" t="s">
        <v>204</v>
      </c>
      <c r="X14" s="702" t="s">
        <v>1489</v>
      </c>
      <c r="Y14" s="693" t="s">
        <v>204</v>
      </c>
      <c r="Z14" s="690">
        <v>1</v>
      </c>
      <c r="AA14" s="693" t="str">
        <f t="shared" ref="AA14:AA20" si="10">+O14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4" s="703">
        <f t="shared" ref="AB14:AB20" si="11">+P14</f>
        <v>97920000</v>
      </c>
      <c r="AC14" s="700" t="s">
        <v>46</v>
      </c>
      <c r="AD14" s="706">
        <v>0.25</v>
      </c>
      <c r="AE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4" s="691">
        <f>+AB14/4</f>
        <v>24480000</v>
      </c>
      <c r="AG14" s="486">
        <f>(236/236)*25%</f>
        <v>0.25</v>
      </c>
      <c r="AH14" s="709">
        <v>16864000</v>
      </c>
      <c r="AI14" s="690">
        <f t="shared" ref="AI14:AI21" si="12">+(AG14/AD14)</f>
        <v>1</v>
      </c>
      <c r="AJ14" s="690">
        <f t="shared" ref="AJ14:AJ20" si="13">+(AH14/AF14)</f>
        <v>0.68888888888888888</v>
      </c>
      <c r="AK14" s="690">
        <f t="shared" ref="AK14:AK20" si="14">+(AG14/Z14)</f>
        <v>0.25</v>
      </c>
      <c r="AL14" s="690">
        <f t="shared" ref="AL14:AL20" si="15">+(AH14/AB14)</f>
        <v>0.17222222222222222</v>
      </c>
      <c r="AM14" s="489" t="s">
        <v>1330</v>
      </c>
      <c r="AN14" s="706">
        <v>0.25</v>
      </c>
      <c r="AO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4" s="691">
        <f>+AB14/4</f>
        <v>24480000</v>
      </c>
      <c r="AQ14" s="514">
        <f>(375/375)*25%</f>
        <v>0.25</v>
      </c>
      <c r="AR14" s="684">
        <v>24480000</v>
      </c>
      <c r="AS14" s="690">
        <f t="shared" ref="AS14:AS20" si="16">+(AQ14/AN14)</f>
        <v>1</v>
      </c>
      <c r="AT14" s="690">
        <f t="shared" ref="AT14:AT20" si="17">+(AR14/AP14)</f>
        <v>1</v>
      </c>
      <c r="AU14" s="690">
        <f t="shared" ref="AU14:AU20" si="18">+(AQ14+AG14)/Z14</f>
        <v>0.5</v>
      </c>
      <c r="AV14" s="690">
        <f t="shared" ref="AV14:AV20" si="19">+(AR14+AH14)/AB14</f>
        <v>0.42222222222222222</v>
      </c>
      <c r="AW14" s="516" t="s">
        <v>1711</v>
      </c>
      <c r="AX14" s="706">
        <v>0.25</v>
      </c>
      <c r="AY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4" s="691">
        <f>+AB14/4</f>
        <v>24480000</v>
      </c>
      <c r="BA14" s="134"/>
      <c r="BB14" s="134"/>
      <c r="BC14" s="690">
        <f t="shared" ref="BC14:BC20" si="20">+(BA14/AX14)</f>
        <v>0</v>
      </c>
      <c r="BD14" s="690">
        <f t="shared" ref="BD14:BD20" si="21">+(BB14/AZ14)</f>
        <v>0</v>
      </c>
      <c r="BE14" s="690">
        <f t="shared" ref="BE14:BE20" si="22">+(AQ14+AG14+BA14)/Z14</f>
        <v>0.5</v>
      </c>
      <c r="BF14" s="690">
        <f t="shared" ref="BF14:BF20" si="23">+(AR14+AH14+BB14)/AB14</f>
        <v>0.42222222222222222</v>
      </c>
      <c r="BG14" s="690"/>
      <c r="BH14" s="706">
        <v>0.25</v>
      </c>
      <c r="BI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4" s="691">
        <f>+AB14/4</f>
        <v>24480000</v>
      </c>
      <c r="BK14" s="134"/>
      <c r="BL14" s="134"/>
      <c r="BM14" s="690">
        <f t="shared" ref="BM14:BM20" si="24">+(BK14/BH14)</f>
        <v>0</v>
      </c>
      <c r="BN14" s="690">
        <f t="shared" ref="BN14:BN20" si="25">+(BL14/BJ14)</f>
        <v>0</v>
      </c>
      <c r="BO14" s="690">
        <f t="shared" ref="BO14:BO20" si="26">+(AQ14+AG14+BA14+BK14)/Z14</f>
        <v>0.5</v>
      </c>
      <c r="BP14" s="690">
        <f t="shared" ref="BP14:BP20" si="27">+(AR14+AH14+BB14+BL14)/AB14</f>
        <v>0.42222222222222222</v>
      </c>
      <c r="BQ14" s="68"/>
      <c r="BR14" s="697">
        <f t="shared" ref="BR14:BR20" si="28">IF(AND(AD14=0,AG14=0),"No Prog ni Ejec",IF(AD14=0,CONCATENATE("No Prog, Ejec=  ",AG14),AG14/AD14))</f>
        <v>1</v>
      </c>
      <c r="BS14" s="697">
        <f t="shared" ref="BS14:BS20" si="29">IF(AND(AF14=0,AH14=0),"No Prog ni Ejec",IF(AF14=0,CONCATENATE("No Prog, Ejec=  ",AH14),AH14/AF14))</f>
        <v>0.68888888888888888</v>
      </c>
      <c r="BT14" s="697">
        <f t="shared" ref="BT14:BT20" si="30">IF(AND(AN14=0,AQ14=0),"No Prog ni Ejec",IF(AN14=0,CONCATENATE("No Prog, Ejec=  ",AQ14),AQ14/AN14))</f>
        <v>1</v>
      </c>
      <c r="BU14" s="697">
        <f t="shared" ref="BU14:BU20" si="31">IF(AND(AP14=0,AR14=0),"No Prog ni Ejec",IF(AP14=0,CONCATENATE("No Prog, Ejec=  ",AR14),AR14/AP14))</f>
        <v>1</v>
      </c>
      <c r="BV14" s="697">
        <f t="shared" ref="BV14:BV20" si="32">IF(AND(AX14=0,BA14=0),"No Prog ni Ejec",IF(AX14=0,CONCATENATE("No Prog, Ejec=  ",BA14),BA14/AX14))</f>
        <v>0</v>
      </c>
      <c r="BW14" s="697">
        <f t="shared" ref="BW14:BW20" si="33">IF(AND(AZ14=0,BB14=0),"No Prog ni Ejec",IF(AZ14=0,CONCATENATE("No Prog, Ejec=  ",BB14),BB14/AZ14))</f>
        <v>0</v>
      </c>
      <c r="BX14" s="697">
        <f t="shared" ref="BX14:BX20" si="34">IF(AND(BH14=0,BK14=0),"No Prog ni Ejec",IF(BH14=0,CONCATENATE("No Prog, Ejec=  ",BK14),BK14/BH14))</f>
        <v>0</v>
      </c>
      <c r="BY14" s="786">
        <f t="shared" ref="BY14:BY20" si="35">IF(AND(BJ14=0,BL14=0),"No Prog ni Ejec",IF(BJ14=0,CONCATENATE("No Prog, Ejec=  ",BL14),BL14/BJ14))</f>
        <v>0</v>
      </c>
      <c r="BZ14" s="157">
        <f t="shared" si="0"/>
        <v>0</v>
      </c>
    </row>
    <row r="15" spans="1:78" s="70" customFormat="1" ht="51" customHeight="1" x14ac:dyDescent="0.2">
      <c r="A15" s="785">
        <v>11500</v>
      </c>
      <c r="B15" s="693" t="s">
        <v>13</v>
      </c>
      <c r="C15" s="693" t="s">
        <v>330</v>
      </c>
      <c r="D15" s="129" t="s">
        <v>1023</v>
      </c>
      <c r="E15" s="129" t="s">
        <v>1023</v>
      </c>
      <c r="F15" s="695" t="s">
        <v>95</v>
      </c>
      <c r="G15" s="693" t="s">
        <v>345</v>
      </c>
      <c r="H15" s="695" t="s">
        <v>110</v>
      </c>
      <c r="I15" s="693" t="s">
        <v>339</v>
      </c>
      <c r="J15" s="695" t="s">
        <v>568</v>
      </c>
      <c r="K15" s="693" t="s">
        <v>602</v>
      </c>
      <c r="L15" s="716" t="s">
        <v>169</v>
      </c>
      <c r="M15" s="67">
        <v>4</v>
      </c>
      <c r="N15" s="695" t="s">
        <v>567</v>
      </c>
      <c r="O15" s="693" t="s">
        <v>1607</v>
      </c>
      <c r="P15" s="701">
        <f>143990000</f>
        <v>143990000</v>
      </c>
      <c r="Q15" s="706">
        <v>1</v>
      </c>
      <c r="R15" s="693" t="s">
        <v>17</v>
      </c>
      <c r="S15" s="693" t="s">
        <v>295</v>
      </c>
      <c r="T15" s="693" t="s">
        <v>634</v>
      </c>
      <c r="U15" s="693" t="s">
        <v>637</v>
      </c>
      <c r="V15" s="693" t="s">
        <v>71</v>
      </c>
      <c r="W15" s="693" t="s">
        <v>1278</v>
      </c>
      <c r="X15" s="693" t="s">
        <v>909</v>
      </c>
      <c r="Y15" s="693" t="s">
        <v>204</v>
      </c>
      <c r="Z15" s="67">
        <v>4</v>
      </c>
      <c r="AA15" s="693" t="str">
        <f>+O15</f>
        <v>Optimizar y sistematizar el proceso de auditoría integral en salud, jurídica y financiera de recobros y reclamaciones</v>
      </c>
      <c r="AB15" s="703">
        <f>+P15</f>
        <v>143990000</v>
      </c>
      <c r="AC15" s="700" t="s">
        <v>46</v>
      </c>
      <c r="AD15" s="67">
        <v>1</v>
      </c>
      <c r="AE15" s="693" t="str">
        <f>+AA15</f>
        <v>Optimizar y sistematizar el proceso de auditoría integral en salud, jurídica y financiera de recobros y reclamaciones</v>
      </c>
      <c r="AF15" s="691">
        <f>(AB15/11)*2</f>
        <v>26180000</v>
      </c>
      <c r="AG15" s="485">
        <v>1</v>
      </c>
      <c r="AH15" s="709">
        <v>11272713.4</v>
      </c>
      <c r="AI15" s="690">
        <f>+(AG15/AD15)</f>
        <v>1</v>
      </c>
      <c r="AJ15" s="690">
        <f>+(AH15/AF15)</f>
        <v>0.43058492742551568</v>
      </c>
      <c r="AK15" s="690">
        <f>+(AG15/Z15)</f>
        <v>0.25</v>
      </c>
      <c r="AL15" s="690">
        <f>+(AH15/AB15)</f>
        <v>7.8288168622821036E-2</v>
      </c>
      <c r="AM15" s="488" t="s">
        <v>1331</v>
      </c>
      <c r="AN15" s="67">
        <v>1</v>
      </c>
      <c r="AO15" s="693" t="str">
        <f>+AA15</f>
        <v>Optimizar y sistematizar el proceso de auditoría integral en salud, jurídica y financiera de recobros y reclamaciones</v>
      </c>
      <c r="AP15" s="691">
        <f>(AB15/11)*3</f>
        <v>39270000</v>
      </c>
      <c r="AQ15" s="716">
        <v>1</v>
      </c>
      <c r="AR15" s="684">
        <v>56363566.979999997</v>
      </c>
      <c r="AS15" s="690">
        <f>+(AQ15/AN15)</f>
        <v>1</v>
      </c>
      <c r="AT15" s="690">
        <f>+(AR15/AP15)</f>
        <v>1.4352830909090908</v>
      </c>
      <c r="AU15" s="690">
        <f>+(AQ15+AG15)/Z15</f>
        <v>0.5</v>
      </c>
      <c r="AV15" s="690">
        <f>+(AR15+AH15)/AB15</f>
        <v>0.4697290115980276</v>
      </c>
      <c r="AW15" s="516" t="s">
        <v>1712</v>
      </c>
      <c r="AX15" s="67">
        <v>1</v>
      </c>
      <c r="AY15" s="693" t="str">
        <f>+AA15</f>
        <v>Optimizar y sistematizar el proceso de auditoría integral en salud, jurídica y financiera de recobros y reclamaciones</v>
      </c>
      <c r="AZ15" s="691">
        <f>(AB15/11)*3</f>
        <v>39270000</v>
      </c>
      <c r="BA15" s="134"/>
      <c r="BB15" s="134"/>
      <c r="BC15" s="690">
        <f>+(BA15/AX15)</f>
        <v>0</v>
      </c>
      <c r="BD15" s="690">
        <f>+(BB15/AZ15)</f>
        <v>0</v>
      </c>
      <c r="BE15" s="690">
        <f>+(AQ15+AG15+BA15)/Z15</f>
        <v>0.5</v>
      </c>
      <c r="BF15" s="690">
        <f>+(AR15+AH15+BB15)/AB15</f>
        <v>0.4697290115980276</v>
      </c>
      <c r="BG15" s="690"/>
      <c r="BH15" s="67">
        <v>1</v>
      </c>
      <c r="BI15" s="693" t="str">
        <f>+AA15</f>
        <v>Optimizar y sistematizar el proceso de auditoría integral en salud, jurídica y financiera de recobros y reclamaciones</v>
      </c>
      <c r="BJ15" s="691">
        <f>(AB15/11)*3</f>
        <v>39270000</v>
      </c>
      <c r="BK15" s="134"/>
      <c r="BL15" s="134"/>
      <c r="BM15" s="690">
        <f>+(BK15/BH15)</f>
        <v>0</v>
      </c>
      <c r="BN15" s="690">
        <f>+(BL15/BJ15)</f>
        <v>0</v>
      </c>
      <c r="BO15" s="690">
        <f>+(AQ15+AG15+BA15+BK15)/Z15</f>
        <v>0.5</v>
      </c>
      <c r="BP15" s="690">
        <f>+(AR15+AH15+BB15+BL15)/AB15</f>
        <v>0.4697290115980276</v>
      </c>
      <c r="BQ15" s="68"/>
      <c r="BR15" s="697">
        <f>IF(AND(AD15=0,AG15=0),"No Prog ni Ejec",IF(AD15=0,CONCATENATE("No Prog, Ejec=  ",AG15),AG15/AD15))</f>
        <v>1</v>
      </c>
      <c r="BS15" s="697">
        <f>IF(AND(AF15=0,AH15=0),"No Prog ni Ejec",IF(AF15=0,CONCATENATE("No Prog, Ejec=  ",AH15),AH15/AF15))</f>
        <v>0.43058492742551568</v>
      </c>
      <c r="BT15" s="697">
        <f>IF(AND(AN15=0,AQ15=0),"No Prog ni Ejec",IF(AN15=0,CONCATENATE("No Prog, Ejec=  ",AQ15),AQ15/AN15))</f>
        <v>1</v>
      </c>
      <c r="BU15" s="697">
        <f>IF(AND(AP15=0,AR15=0),"No Prog ni Ejec",IF(AP15=0,CONCATENATE("No Prog, Ejec=  ",AR15),AR15/AP15))</f>
        <v>1.4352830909090908</v>
      </c>
      <c r="BV15" s="697">
        <f>IF(AND(AX15=0,BA15=0),"No Prog ni Ejec",IF(AX15=0,CONCATENATE("No Prog, Ejec=  ",BA15),BA15/AX15))</f>
        <v>0</v>
      </c>
      <c r="BW15" s="697">
        <f>IF(AND(AZ15=0,BB15=0),"No Prog ni Ejec",IF(AZ15=0,CONCATENATE("No Prog, Ejec=  ",BB15),BB15/AZ15))</f>
        <v>0</v>
      </c>
      <c r="BX15" s="697">
        <f>IF(AND(BH15=0,BK15=0),"No Prog ni Ejec",IF(BH15=0,CONCATENATE("No Prog, Ejec=  ",BK15),BK15/BH15))</f>
        <v>0</v>
      </c>
      <c r="BY15" s="786">
        <f>IF(AND(BJ15=0,BL15=0),"No Prog ni Ejec",IF(BJ15=0,CONCATENATE("No Prog, Ejec=  ",BL15),BL15/BJ15))</f>
        <v>0</v>
      </c>
      <c r="BZ15" s="157">
        <f t="shared" si="0"/>
        <v>0</v>
      </c>
    </row>
    <row r="16" spans="1:78" s="70" customFormat="1" ht="153" x14ac:dyDescent="0.2">
      <c r="A16" s="785">
        <v>11500</v>
      </c>
      <c r="B16" s="693" t="s">
        <v>13</v>
      </c>
      <c r="C16" s="693" t="s">
        <v>330</v>
      </c>
      <c r="D16" s="129" t="s">
        <v>1023</v>
      </c>
      <c r="E16" s="129"/>
      <c r="F16" s="695" t="s">
        <v>95</v>
      </c>
      <c r="G16" s="693" t="s">
        <v>345</v>
      </c>
      <c r="H16" s="695" t="s">
        <v>110</v>
      </c>
      <c r="I16" s="693" t="s">
        <v>339</v>
      </c>
      <c r="J16" s="695" t="s">
        <v>570</v>
      </c>
      <c r="K16" s="693" t="s">
        <v>409</v>
      </c>
      <c r="L16" s="716" t="s">
        <v>391</v>
      </c>
      <c r="M16" s="67">
        <v>12</v>
      </c>
      <c r="N16" s="695" t="s">
        <v>569</v>
      </c>
      <c r="O16" s="65" t="s">
        <v>414</v>
      </c>
      <c r="P16" s="132">
        <v>0</v>
      </c>
      <c r="Q16" s="706">
        <v>1</v>
      </c>
      <c r="R16" s="693" t="s">
        <v>17</v>
      </c>
      <c r="S16" s="693" t="s">
        <v>26</v>
      </c>
      <c r="T16" s="693" t="s">
        <v>634</v>
      </c>
      <c r="U16" s="693" t="s">
        <v>637</v>
      </c>
      <c r="V16" s="693" t="s">
        <v>71</v>
      </c>
      <c r="W16" s="693" t="s">
        <v>1271</v>
      </c>
      <c r="X16" s="693" t="s">
        <v>418</v>
      </c>
      <c r="Y16" s="693" t="s">
        <v>284</v>
      </c>
      <c r="Z16" s="67">
        <v>12</v>
      </c>
      <c r="AA16" s="693" t="str">
        <f t="shared" si="10"/>
        <v>Ordenar el giro previo a favor de las entidades recobrantes y proveedores de servicios y tecnologías no incluidas en el PB con cargo a la UPC</v>
      </c>
      <c r="AB16" s="703">
        <f t="shared" si="11"/>
        <v>0</v>
      </c>
      <c r="AC16" s="700" t="s">
        <v>48</v>
      </c>
      <c r="AD16" s="67">
        <v>3</v>
      </c>
      <c r="AE16" s="693" t="str">
        <f t="shared" ref="AE16:AE21" si="36">+AA16</f>
        <v>Ordenar el giro previo a favor de las entidades recobrantes y proveedores de servicios y tecnologías no incluidas en el PB con cargo a la UPC</v>
      </c>
      <c r="AF16" s="691">
        <v>0</v>
      </c>
      <c r="AG16" s="485">
        <v>3</v>
      </c>
      <c r="AH16" s="709">
        <v>0</v>
      </c>
      <c r="AI16" s="690">
        <f t="shared" si="12"/>
        <v>1</v>
      </c>
      <c r="AJ16" s="690" t="e">
        <f t="shared" si="13"/>
        <v>#DIV/0!</v>
      </c>
      <c r="AK16" s="690">
        <f t="shared" si="14"/>
        <v>0.25</v>
      </c>
      <c r="AL16" s="690" t="e">
        <f t="shared" si="15"/>
        <v>#DIV/0!</v>
      </c>
      <c r="AM16" s="490" t="s">
        <v>1332</v>
      </c>
      <c r="AN16" s="67">
        <v>3</v>
      </c>
      <c r="AO16" s="693" t="str">
        <f t="shared" ref="AO16:AO21" si="37">+AA16</f>
        <v>Ordenar el giro previo a favor de las entidades recobrantes y proveedores de servicios y tecnologías no incluidas en el PB con cargo a la UPC</v>
      </c>
      <c r="AP16" s="691">
        <v>0</v>
      </c>
      <c r="AQ16" s="716">
        <v>6</v>
      </c>
      <c r="AR16" s="691">
        <v>0</v>
      </c>
      <c r="AS16" s="690">
        <f t="shared" si="16"/>
        <v>2</v>
      </c>
      <c r="AT16" s="690" t="e">
        <f t="shared" si="17"/>
        <v>#DIV/0!</v>
      </c>
      <c r="AU16" s="690">
        <f t="shared" si="18"/>
        <v>0.75</v>
      </c>
      <c r="AV16" s="690" t="e">
        <f t="shared" si="19"/>
        <v>#DIV/0!</v>
      </c>
      <c r="AW16" s="516" t="s">
        <v>1789</v>
      </c>
      <c r="AX16" s="67">
        <v>3</v>
      </c>
      <c r="AY16" s="693" t="str">
        <f>+AA16</f>
        <v>Ordenar el giro previo a favor de las entidades recobrantes y proveedores de servicios y tecnologías no incluidas en el PB con cargo a la UPC</v>
      </c>
      <c r="AZ16" s="691">
        <v>0</v>
      </c>
      <c r="BA16" s="134"/>
      <c r="BB16" s="134"/>
      <c r="BC16" s="690">
        <f t="shared" si="20"/>
        <v>0</v>
      </c>
      <c r="BD16" s="690" t="e">
        <f t="shared" si="21"/>
        <v>#DIV/0!</v>
      </c>
      <c r="BE16" s="690">
        <f t="shared" si="22"/>
        <v>0.75</v>
      </c>
      <c r="BF16" s="690" t="e">
        <f t="shared" si="23"/>
        <v>#DIV/0!</v>
      </c>
      <c r="BG16" s="690"/>
      <c r="BH16" s="67">
        <v>3</v>
      </c>
      <c r="BI16" s="693" t="str">
        <f t="shared" ref="BI16:BI21" si="38">+AA16</f>
        <v>Ordenar el giro previo a favor de las entidades recobrantes y proveedores de servicios y tecnologías no incluidas en el PB con cargo a la UPC</v>
      </c>
      <c r="BJ16" s="691">
        <v>0</v>
      </c>
      <c r="BK16" s="134"/>
      <c r="BL16" s="134"/>
      <c r="BM16" s="690">
        <f t="shared" si="24"/>
        <v>0</v>
      </c>
      <c r="BN16" s="690" t="e">
        <f>+(BL16/BJ16)</f>
        <v>#DIV/0!</v>
      </c>
      <c r="BO16" s="690">
        <f t="shared" si="26"/>
        <v>0.75</v>
      </c>
      <c r="BP16" s="690" t="e">
        <f t="shared" si="27"/>
        <v>#DIV/0!</v>
      </c>
      <c r="BQ16" s="68"/>
      <c r="BR16" s="697">
        <f t="shared" si="28"/>
        <v>1</v>
      </c>
      <c r="BS16" s="697" t="str">
        <f t="shared" si="29"/>
        <v>No Prog ni Ejec</v>
      </c>
      <c r="BT16" s="697">
        <f t="shared" si="30"/>
        <v>2</v>
      </c>
      <c r="BU16" s="697" t="str">
        <f t="shared" si="31"/>
        <v>No Prog ni Ejec</v>
      </c>
      <c r="BV16" s="697">
        <f t="shared" si="32"/>
        <v>0</v>
      </c>
      <c r="BW16" s="697" t="str">
        <f t="shared" si="33"/>
        <v>No Prog ni Ejec</v>
      </c>
      <c r="BX16" s="697">
        <f t="shared" si="34"/>
        <v>0</v>
      </c>
      <c r="BY16" s="786" t="str">
        <f t="shared" si="35"/>
        <v>No Prog ni Ejec</v>
      </c>
      <c r="BZ16" s="157">
        <f t="shared" si="0"/>
        <v>0</v>
      </c>
    </row>
    <row r="17" spans="1:78" s="70" customFormat="1" ht="114.75" customHeight="1" x14ac:dyDescent="0.2">
      <c r="A17" s="785">
        <v>11500</v>
      </c>
      <c r="B17" s="693" t="s">
        <v>13</v>
      </c>
      <c r="C17" s="693" t="s">
        <v>330</v>
      </c>
      <c r="D17" s="129" t="s">
        <v>1023</v>
      </c>
      <c r="E17" s="129"/>
      <c r="F17" s="695" t="s">
        <v>95</v>
      </c>
      <c r="G17" s="693" t="s">
        <v>345</v>
      </c>
      <c r="H17" s="695" t="s">
        <v>110</v>
      </c>
      <c r="I17" s="693" t="s">
        <v>339</v>
      </c>
      <c r="J17" s="695" t="s">
        <v>588</v>
      </c>
      <c r="K17" s="693" t="s">
        <v>410</v>
      </c>
      <c r="L17" s="716" t="s">
        <v>169</v>
      </c>
      <c r="M17" s="698">
        <v>1</v>
      </c>
      <c r="N17" s="695" t="s">
        <v>585</v>
      </c>
      <c r="O17" s="774" t="s">
        <v>1490</v>
      </c>
      <c r="P17" s="703">
        <v>0</v>
      </c>
      <c r="Q17" s="706">
        <v>1</v>
      </c>
      <c r="R17" s="693" t="s">
        <v>17</v>
      </c>
      <c r="S17" s="693" t="s">
        <v>26</v>
      </c>
      <c r="T17" s="693" t="s">
        <v>634</v>
      </c>
      <c r="U17" s="693" t="s">
        <v>637</v>
      </c>
      <c r="V17" s="693" t="s">
        <v>71</v>
      </c>
      <c r="W17" s="693" t="s">
        <v>1270</v>
      </c>
      <c r="X17" s="702" t="s">
        <v>1492</v>
      </c>
      <c r="Y17" s="693" t="s">
        <v>284</v>
      </c>
      <c r="Z17" s="690">
        <v>1</v>
      </c>
      <c r="AA17" s="775" t="str">
        <f t="shared" si="10"/>
        <v>Ordenar el pago de los paquetes de recobros cuyo trámite de auditoría se encuentre certificado o haya sido allegado el auto de desistimiento para el caso de recobros inmersos en procesos judiciales.</v>
      </c>
      <c r="AB17" s="703">
        <f t="shared" si="11"/>
        <v>0</v>
      </c>
      <c r="AC17" s="700" t="s">
        <v>48</v>
      </c>
      <c r="AD17" s="690">
        <v>0.25</v>
      </c>
      <c r="AE17" s="775" t="str">
        <f t="shared" si="36"/>
        <v>Ordenar el pago de los paquetes de recobros cuyo trámite de auditoría se encuentre certificado o haya sido allegado el auto de desistimiento para el caso de recobros inmersos en procesos judiciales.</v>
      </c>
      <c r="AF17" s="691">
        <v>0</v>
      </c>
      <c r="AG17" s="485">
        <v>0</v>
      </c>
      <c r="AH17" s="709">
        <v>0</v>
      </c>
      <c r="AI17" s="690">
        <f t="shared" si="12"/>
        <v>0</v>
      </c>
      <c r="AJ17" s="690" t="e">
        <f t="shared" si="13"/>
        <v>#DIV/0!</v>
      </c>
      <c r="AK17" s="690">
        <f t="shared" si="14"/>
        <v>0</v>
      </c>
      <c r="AL17" s="690" t="e">
        <f t="shared" si="15"/>
        <v>#DIV/0!</v>
      </c>
      <c r="AM17" s="490" t="s">
        <v>1333</v>
      </c>
      <c r="AN17" s="690">
        <v>0.25</v>
      </c>
      <c r="AO17" s="775" t="str">
        <f t="shared" si="37"/>
        <v>Ordenar el pago de los paquetes de recobros cuyo trámite de auditoría se encuentre certificado o haya sido allegado el auto de desistimiento para el caso de recobros inmersos en procesos judiciales.</v>
      </c>
      <c r="AP17" s="691">
        <v>0</v>
      </c>
      <c r="AQ17" s="514">
        <f>(3/3)*25%</f>
        <v>0.25</v>
      </c>
      <c r="AR17" s="691">
        <v>0</v>
      </c>
      <c r="AS17" s="690">
        <f t="shared" si="16"/>
        <v>1</v>
      </c>
      <c r="AT17" s="690" t="e">
        <f t="shared" si="17"/>
        <v>#DIV/0!</v>
      </c>
      <c r="AU17" s="690">
        <f t="shared" si="18"/>
        <v>0.25</v>
      </c>
      <c r="AV17" s="690" t="e">
        <f t="shared" si="19"/>
        <v>#DIV/0!</v>
      </c>
      <c r="AW17" s="516" t="s">
        <v>1790</v>
      </c>
      <c r="AX17" s="690">
        <v>0.25</v>
      </c>
      <c r="AY17" s="775" t="str">
        <f t="shared" ref="AY17:AY21" si="39">+AA17</f>
        <v>Ordenar el pago de los paquetes de recobros cuyo trámite de auditoría se encuentre certificado o haya sido allegado el auto de desistimiento para el caso de recobros inmersos en procesos judiciales.</v>
      </c>
      <c r="AZ17" s="691">
        <v>0</v>
      </c>
      <c r="BA17" s="134"/>
      <c r="BB17" s="134"/>
      <c r="BC17" s="690">
        <f t="shared" si="20"/>
        <v>0</v>
      </c>
      <c r="BD17" s="690" t="e">
        <f t="shared" si="21"/>
        <v>#DIV/0!</v>
      </c>
      <c r="BE17" s="690">
        <f t="shared" si="22"/>
        <v>0.25</v>
      </c>
      <c r="BF17" s="690" t="e">
        <f t="shared" si="23"/>
        <v>#DIV/0!</v>
      </c>
      <c r="BG17" s="690"/>
      <c r="BH17" s="690">
        <v>0.25</v>
      </c>
      <c r="BI17" s="775" t="str">
        <f t="shared" si="38"/>
        <v>Ordenar el pago de los paquetes de recobros cuyo trámite de auditoría se encuentre certificado o haya sido allegado el auto de desistimiento para el caso de recobros inmersos en procesos judiciales.</v>
      </c>
      <c r="BJ17" s="691">
        <v>0</v>
      </c>
      <c r="BK17" s="134"/>
      <c r="BL17" s="134"/>
      <c r="BM17" s="690">
        <f t="shared" si="24"/>
        <v>0</v>
      </c>
      <c r="BN17" s="690" t="e">
        <f t="shared" si="25"/>
        <v>#DIV/0!</v>
      </c>
      <c r="BO17" s="690">
        <f t="shared" si="26"/>
        <v>0.25</v>
      </c>
      <c r="BP17" s="690" t="e">
        <f t="shared" si="27"/>
        <v>#DIV/0!</v>
      </c>
      <c r="BQ17" s="68"/>
      <c r="BR17" s="697">
        <f t="shared" si="28"/>
        <v>0</v>
      </c>
      <c r="BS17" s="697" t="str">
        <f t="shared" si="29"/>
        <v>No Prog ni Ejec</v>
      </c>
      <c r="BT17" s="697">
        <f t="shared" si="30"/>
        <v>1</v>
      </c>
      <c r="BU17" s="697" t="str">
        <f t="shared" si="31"/>
        <v>No Prog ni Ejec</v>
      </c>
      <c r="BV17" s="697">
        <f t="shared" si="32"/>
        <v>0</v>
      </c>
      <c r="BW17" s="697" t="str">
        <f t="shared" si="33"/>
        <v>No Prog ni Ejec</v>
      </c>
      <c r="BX17" s="697">
        <f t="shared" si="34"/>
        <v>0</v>
      </c>
      <c r="BY17" s="786" t="str">
        <f t="shared" si="35"/>
        <v>No Prog ni Ejec</v>
      </c>
      <c r="BZ17" s="157">
        <f t="shared" si="0"/>
        <v>0</v>
      </c>
    </row>
    <row r="18" spans="1:78" s="70" customFormat="1" ht="76.5" x14ac:dyDescent="0.2">
      <c r="A18" s="785">
        <v>11500</v>
      </c>
      <c r="B18" s="693" t="s">
        <v>13</v>
      </c>
      <c r="C18" s="693" t="s">
        <v>330</v>
      </c>
      <c r="D18" s="129" t="s">
        <v>1023</v>
      </c>
      <c r="E18" s="129"/>
      <c r="F18" s="695" t="s">
        <v>95</v>
      </c>
      <c r="G18" s="693" t="s">
        <v>345</v>
      </c>
      <c r="H18" s="695" t="s">
        <v>110</v>
      </c>
      <c r="I18" s="693" t="s">
        <v>339</v>
      </c>
      <c r="J18" s="695" t="s">
        <v>587</v>
      </c>
      <c r="K18" s="693" t="s">
        <v>411</v>
      </c>
      <c r="L18" s="716" t="s">
        <v>169</v>
      </c>
      <c r="M18" s="698">
        <v>1</v>
      </c>
      <c r="N18" s="695" t="s">
        <v>586</v>
      </c>
      <c r="O18" s="65" t="s">
        <v>415</v>
      </c>
      <c r="P18" s="132">
        <v>0</v>
      </c>
      <c r="Q18" s="706">
        <v>1</v>
      </c>
      <c r="R18" s="693" t="s">
        <v>18</v>
      </c>
      <c r="S18" s="693" t="s">
        <v>24</v>
      </c>
      <c r="T18" s="693" t="s">
        <v>634</v>
      </c>
      <c r="U18" s="693" t="s">
        <v>637</v>
      </c>
      <c r="V18" s="693" t="s">
        <v>71</v>
      </c>
      <c r="W18" s="693" t="s">
        <v>204</v>
      </c>
      <c r="X18" s="693" t="s">
        <v>419</v>
      </c>
      <c r="Y18" s="693" t="s">
        <v>40</v>
      </c>
      <c r="Z18" s="698">
        <v>1</v>
      </c>
      <c r="AA18" s="693" t="str">
        <f t="shared" si="10"/>
        <v xml:space="preserve">Solicitar la publicación del los giros ordenados por recobros </v>
      </c>
      <c r="AB18" s="703">
        <f t="shared" si="11"/>
        <v>0</v>
      </c>
      <c r="AC18" s="700" t="s">
        <v>48</v>
      </c>
      <c r="AD18" s="690">
        <v>0.25</v>
      </c>
      <c r="AE18" s="693" t="str">
        <f t="shared" si="36"/>
        <v xml:space="preserve">Solicitar la publicación del los giros ordenados por recobros </v>
      </c>
      <c r="AF18" s="691">
        <v>0</v>
      </c>
      <c r="AG18" s="486">
        <f>(3/3)*25%</f>
        <v>0.25</v>
      </c>
      <c r="AH18" s="518">
        <v>0</v>
      </c>
      <c r="AI18" s="690">
        <f t="shared" si="12"/>
        <v>1</v>
      </c>
      <c r="AJ18" s="690" t="e">
        <f t="shared" si="13"/>
        <v>#DIV/0!</v>
      </c>
      <c r="AK18" s="690">
        <f t="shared" si="14"/>
        <v>0.25</v>
      </c>
      <c r="AL18" s="690" t="e">
        <f t="shared" si="15"/>
        <v>#DIV/0!</v>
      </c>
      <c r="AM18" s="489" t="s">
        <v>1334</v>
      </c>
      <c r="AN18" s="690">
        <v>0.25</v>
      </c>
      <c r="AO18" s="693" t="str">
        <f t="shared" si="37"/>
        <v xml:space="preserve">Solicitar la publicación del los giros ordenados por recobros </v>
      </c>
      <c r="AP18" s="691">
        <v>0</v>
      </c>
      <c r="AQ18" s="514">
        <f>(9/9)*25%</f>
        <v>0.25</v>
      </c>
      <c r="AR18" s="691">
        <v>0</v>
      </c>
      <c r="AS18" s="690">
        <f t="shared" si="16"/>
        <v>1</v>
      </c>
      <c r="AT18" s="690" t="e">
        <f t="shared" si="17"/>
        <v>#DIV/0!</v>
      </c>
      <c r="AU18" s="690">
        <f t="shared" si="18"/>
        <v>0.5</v>
      </c>
      <c r="AV18" s="690" t="e">
        <f t="shared" si="19"/>
        <v>#DIV/0!</v>
      </c>
      <c r="AW18" s="516" t="s">
        <v>1713</v>
      </c>
      <c r="AX18" s="690">
        <v>0.25</v>
      </c>
      <c r="AY18" s="693" t="str">
        <f t="shared" si="39"/>
        <v xml:space="preserve">Solicitar la publicación del los giros ordenados por recobros </v>
      </c>
      <c r="AZ18" s="691">
        <v>0</v>
      </c>
      <c r="BA18" s="134"/>
      <c r="BB18" s="134"/>
      <c r="BC18" s="690">
        <f t="shared" si="20"/>
        <v>0</v>
      </c>
      <c r="BD18" s="690" t="e">
        <f t="shared" si="21"/>
        <v>#DIV/0!</v>
      </c>
      <c r="BE18" s="690">
        <f t="shared" si="22"/>
        <v>0.5</v>
      </c>
      <c r="BF18" s="690" t="e">
        <f t="shared" si="23"/>
        <v>#DIV/0!</v>
      </c>
      <c r="BG18" s="690"/>
      <c r="BH18" s="690">
        <v>0.25</v>
      </c>
      <c r="BI18" s="693" t="str">
        <f t="shared" si="38"/>
        <v xml:space="preserve">Solicitar la publicación del los giros ordenados por recobros </v>
      </c>
      <c r="BJ18" s="691">
        <v>0</v>
      </c>
      <c r="BK18" s="134"/>
      <c r="BL18" s="134"/>
      <c r="BM18" s="690">
        <f t="shared" si="24"/>
        <v>0</v>
      </c>
      <c r="BN18" s="690" t="e">
        <f t="shared" si="25"/>
        <v>#DIV/0!</v>
      </c>
      <c r="BO18" s="690">
        <f t="shared" si="26"/>
        <v>0.5</v>
      </c>
      <c r="BP18" s="690" t="e">
        <f t="shared" si="27"/>
        <v>#DIV/0!</v>
      </c>
      <c r="BQ18" s="68"/>
      <c r="BR18" s="697">
        <f t="shared" si="28"/>
        <v>1</v>
      </c>
      <c r="BS18" s="697" t="str">
        <f t="shared" si="29"/>
        <v>No Prog ni Ejec</v>
      </c>
      <c r="BT18" s="697">
        <f t="shared" si="30"/>
        <v>1</v>
      </c>
      <c r="BU18" s="697" t="str">
        <f t="shared" si="31"/>
        <v>No Prog ni Ejec</v>
      </c>
      <c r="BV18" s="697">
        <f t="shared" si="32"/>
        <v>0</v>
      </c>
      <c r="BW18" s="697" t="str">
        <f t="shared" si="33"/>
        <v>No Prog ni Ejec</v>
      </c>
      <c r="BX18" s="697">
        <f t="shared" si="34"/>
        <v>0</v>
      </c>
      <c r="BY18" s="786" t="str">
        <f t="shared" si="35"/>
        <v>No Prog ni Ejec</v>
      </c>
      <c r="BZ18" s="157">
        <f t="shared" si="0"/>
        <v>0</v>
      </c>
    </row>
    <row r="19" spans="1:78" s="70" customFormat="1" ht="153" x14ac:dyDescent="0.2">
      <c r="A19" s="785">
        <v>11500</v>
      </c>
      <c r="B19" s="693" t="s">
        <v>13</v>
      </c>
      <c r="C19" s="693" t="s">
        <v>330</v>
      </c>
      <c r="D19" s="129" t="s">
        <v>1023</v>
      </c>
      <c r="E19" s="129"/>
      <c r="F19" s="695" t="s">
        <v>95</v>
      </c>
      <c r="G19" s="693" t="s">
        <v>345</v>
      </c>
      <c r="H19" s="695" t="s">
        <v>110</v>
      </c>
      <c r="I19" s="693" t="s">
        <v>339</v>
      </c>
      <c r="J19" s="695" t="s">
        <v>591</v>
      </c>
      <c r="K19" s="693" t="s">
        <v>412</v>
      </c>
      <c r="L19" s="716" t="s">
        <v>169</v>
      </c>
      <c r="M19" s="698">
        <v>1</v>
      </c>
      <c r="N19" s="695" t="s">
        <v>589</v>
      </c>
      <c r="O19" s="600" t="s">
        <v>1491</v>
      </c>
      <c r="P19" s="132">
        <v>0</v>
      </c>
      <c r="Q19" s="706">
        <v>1</v>
      </c>
      <c r="R19" s="693" t="s">
        <v>17</v>
      </c>
      <c r="S19" s="693" t="s">
        <v>26</v>
      </c>
      <c r="T19" s="693" t="s">
        <v>634</v>
      </c>
      <c r="U19" s="693" t="s">
        <v>637</v>
      </c>
      <c r="V19" s="693" t="s">
        <v>71</v>
      </c>
      <c r="W19" s="693" t="s">
        <v>1273</v>
      </c>
      <c r="X19" s="702" t="s">
        <v>1493</v>
      </c>
      <c r="Y19" s="693" t="s">
        <v>284</v>
      </c>
      <c r="Z19" s="690">
        <v>1</v>
      </c>
      <c r="AA19" s="693" t="str">
        <f t="shared" si="10"/>
        <v>Ordenar el pago de los paquetes de reclamaciones cuyo trámite de auditoría se encuentre certificado o haya sido allegado el auto de desistimiento para el caso de reclamaciones inmersas en procesos judiciales</v>
      </c>
      <c r="AB19" s="703">
        <f t="shared" si="11"/>
        <v>0</v>
      </c>
      <c r="AC19" s="700" t="s">
        <v>48</v>
      </c>
      <c r="AD19" s="690">
        <v>0.25</v>
      </c>
      <c r="AE19" s="693" t="str">
        <f t="shared" si="36"/>
        <v>Ordenar el pago de los paquetes de reclamaciones cuyo trámite de auditoría se encuentre certificado o haya sido allegado el auto de desistimiento para el caso de reclamaciones inmersas en procesos judiciales</v>
      </c>
      <c r="AF19" s="691">
        <v>0</v>
      </c>
      <c r="AG19" s="486">
        <f>(10/10)*25%</f>
        <v>0.25</v>
      </c>
      <c r="AH19" s="518">
        <v>0</v>
      </c>
      <c r="AI19" s="690">
        <f t="shared" si="12"/>
        <v>1</v>
      </c>
      <c r="AJ19" s="690" t="e">
        <f t="shared" si="13"/>
        <v>#DIV/0!</v>
      </c>
      <c r="AK19" s="690">
        <f t="shared" si="14"/>
        <v>0.25</v>
      </c>
      <c r="AL19" s="690" t="e">
        <f t="shared" si="15"/>
        <v>#DIV/0!</v>
      </c>
      <c r="AM19" s="490" t="s">
        <v>1335</v>
      </c>
      <c r="AN19" s="690">
        <v>0.25</v>
      </c>
      <c r="AO19" s="693" t="str">
        <f t="shared" si="37"/>
        <v>Ordenar el pago de los paquetes de reclamaciones cuyo trámite de auditoría se encuentre certificado o haya sido allegado el auto de desistimiento para el caso de reclamaciones inmersas en procesos judiciales</v>
      </c>
      <c r="AP19" s="691">
        <v>0</v>
      </c>
      <c r="AQ19" s="514">
        <f>(23/23)*25%</f>
        <v>0.25</v>
      </c>
      <c r="AR19" s="691">
        <v>0</v>
      </c>
      <c r="AS19" s="690">
        <f t="shared" si="16"/>
        <v>1</v>
      </c>
      <c r="AT19" s="690" t="e">
        <f t="shared" si="17"/>
        <v>#DIV/0!</v>
      </c>
      <c r="AU19" s="690">
        <f t="shared" si="18"/>
        <v>0.5</v>
      </c>
      <c r="AV19" s="690" t="e">
        <f t="shared" si="19"/>
        <v>#DIV/0!</v>
      </c>
      <c r="AW19" s="516" t="s">
        <v>1714</v>
      </c>
      <c r="AX19" s="690">
        <v>0.25</v>
      </c>
      <c r="AY19" s="693" t="str">
        <f t="shared" si="39"/>
        <v>Ordenar el pago de los paquetes de reclamaciones cuyo trámite de auditoría se encuentre certificado o haya sido allegado el auto de desistimiento para el caso de reclamaciones inmersas en procesos judiciales</v>
      </c>
      <c r="AZ19" s="691">
        <v>0</v>
      </c>
      <c r="BA19" s="134"/>
      <c r="BB19" s="134"/>
      <c r="BC19" s="690">
        <f t="shared" si="20"/>
        <v>0</v>
      </c>
      <c r="BD19" s="690" t="e">
        <f t="shared" si="21"/>
        <v>#DIV/0!</v>
      </c>
      <c r="BE19" s="690">
        <f t="shared" si="22"/>
        <v>0.5</v>
      </c>
      <c r="BF19" s="690" t="e">
        <f t="shared" si="23"/>
        <v>#DIV/0!</v>
      </c>
      <c r="BG19" s="690"/>
      <c r="BH19" s="690">
        <v>0.25</v>
      </c>
      <c r="BI19" s="693" t="str">
        <f t="shared" si="38"/>
        <v>Ordenar el pago de los paquetes de reclamaciones cuyo trámite de auditoría se encuentre certificado o haya sido allegado el auto de desistimiento para el caso de reclamaciones inmersas en procesos judiciales</v>
      </c>
      <c r="BJ19" s="691">
        <v>0</v>
      </c>
      <c r="BK19" s="134"/>
      <c r="BL19" s="134"/>
      <c r="BM19" s="690">
        <f t="shared" si="24"/>
        <v>0</v>
      </c>
      <c r="BN19" s="690" t="e">
        <f t="shared" si="25"/>
        <v>#DIV/0!</v>
      </c>
      <c r="BO19" s="690">
        <f t="shared" si="26"/>
        <v>0.5</v>
      </c>
      <c r="BP19" s="690" t="e">
        <f t="shared" si="27"/>
        <v>#DIV/0!</v>
      </c>
      <c r="BQ19" s="68"/>
      <c r="BR19" s="697">
        <f t="shared" si="28"/>
        <v>1</v>
      </c>
      <c r="BS19" s="697" t="str">
        <f t="shared" si="29"/>
        <v>No Prog ni Ejec</v>
      </c>
      <c r="BT19" s="697">
        <f t="shared" si="30"/>
        <v>1</v>
      </c>
      <c r="BU19" s="697" t="str">
        <f t="shared" si="31"/>
        <v>No Prog ni Ejec</v>
      </c>
      <c r="BV19" s="697">
        <f t="shared" si="32"/>
        <v>0</v>
      </c>
      <c r="BW19" s="697" t="str">
        <f t="shared" si="33"/>
        <v>No Prog ni Ejec</v>
      </c>
      <c r="BX19" s="697">
        <f t="shared" si="34"/>
        <v>0</v>
      </c>
      <c r="BY19" s="786" t="str">
        <f t="shared" si="35"/>
        <v>No Prog ni Ejec</v>
      </c>
      <c r="BZ19" s="157">
        <f t="shared" si="0"/>
        <v>0</v>
      </c>
    </row>
    <row r="20" spans="1:78" s="70" customFormat="1" ht="89.25" x14ac:dyDescent="0.2">
      <c r="A20" s="785">
        <v>11500</v>
      </c>
      <c r="B20" s="693" t="s">
        <v>13</v>
      </c>
      <c r="C20" s="693" t="s">
        <v>330</v>
      </c>
      <c r="D20" s="129" t="s">
        <v>1023</v>
      </c>
      <c r="E20" s="129"/>
      <c r="F20" s="695" t="s">
        <v>95</v>
      </c>
      <c r="G20" s="693" t="s">
        <v>345</v>
      </c>
      <c r="H20" s="695" t="s">
        <v>110</v>
      </c>
      <c r="I20" s="693" t="s">
        <v>339</v>
      </c>
      <c r="J20" s="695" t="s">
        <v>590</v>
      </c>
      <c r="K20" s="693" t="s">
        <v>413</v>
      </c>
      <c r="L20" s="716" t="s">
        <v>169</v>
      </c>
      <c r="M20" s="698">
        <v>1</v>
      </c>
      <c r="N20" s="695" t="s">
        <v>584</v>
      </c>
      <c r="O20" s="65" t="s">
        <v>416</v>
      </c>
      <c r="P20" s="132">
        <v>0</v>
      </c>
      <c r="Q20" s="706">
        <v>1</v>
      </c>
      <c r="R20" s="693" t="s">
        <v>18</v>
      </c>
      <c r="S20" s="693" t="s">
        <v>24</v>
      </c>
      <c r="T20" s="693" t="s">
        <v>634</v>
      </c>
      <c r="U20" s="693" t="s">
        <v>637</v>
      </c>
      <c r="V20" s="693" t="s">
        <v>71</v>
      </c>
      <c r="W20" s="693" t="s">
        <v>204</v>
      </c>
      <c r="X20" s="702" t="s">
        <v>1494</v>
      </c>
      <c r="Y20" s="693" t="s">
        <v>40</v>
      </c>
      <c r="Z20" s="698">
        <v>1</v>
      </c>
      <c r="AA20" s="693" t="str">
        <f t="shared" si="10"/>
        <v>Solicitar la publicación del los giros ordenados por reclamaciones</v>
      </c>
      <c r="AB20" s="703">
        <f t="shared" si="11"/>
        <v>0</v>
      </c>
      <c r="AC20" s="700" t="s">
        <v>48</v>
      </c>
      <c r="AD20" s="690">
        <v>0.25</v>
      </c>
      <c r="AE20" s="693" t="str">
        <f t="shared" si="36"/>
        <v>Solicitar la publicación del los giros ordenados por reclamaciones</v>
      </c>
      <c r="AF20" s="691">
        <v>0</v>
      </c>
      <c r="AG20" s="486">
        <f>(10/10)*25%</f>
        <v>0.25</v>
      </c>
      <c r="AH20" s="518">
        <v>0</v>
      </c>
      <c r="AI20" s="690">
        <f t="shared" si="12"/>
        <v>1</v>
      </c>
      <c r="AJ20" s="690" t="e">
        <f t="shared" si="13"/>
        <v>#DIV/0!</v>
      </c>
      <c r="AK20" s="690">
        <f t="shared" si="14"/>
        <v>0.25</v>
      </c>
      <c r="AL20" s="690" t="e">
        <f t="shared" si="15"/>
        <v>#DIV/0!</v>
      </c>
      <c r="AM20" s="489" t="s">
        <v>1336</v>
      </c>
      <c r="AN20" s="690">
        <v>0.25</v>
      </c>
      <c r="AO20" s="693" t="str">
        <f t="shared" si="37"/>
        <v>Solicitar la publicación del los giros ordenados por reclamaciones</v>
      </c>
      <c r="AP20" s="691">
        <v>0</v>
      </c>
      <c r="AQ20" s="514">
        <f>(23/23)*25%</f>
        <v>0.25</v>
      </c>
      <c r="AR20" s="691">
        <v>0</v>
      </c>
      <c r="AS20" s="690">
        <f t="shared" si="16"/>
        <v>1</v>
      </c>
      <c r="AT20" s="690" t="e">
        <f t="shared" si="17"/>
        <v>#DIV/0!</v>
      </c>
      <c r="AU20" s="690">
        <f t="shared" si="18"/>
        <v>0.5</v>
      </c>
      <c r="AV20" s="690" t="e">
        <f t="shared" si="19"/>
        <v>#DIV/0!</v>
      </c>
      <c r="AW20" s="516" t="s">
        <v>1715</v>
      </c>
      <c r="AX20" s="690">
        <v>0.25</v>
      </c>
      <c r="AY20" s="693" t="str">
        <f t="shared" si="39"/>
        <v>Solicitar la publicación del los giros ordenados por reclamaciones</v>
      </c>
      <c r="AZ20" s="691">
        <v>0</v>
      </c>
      <c r="BA20" s="134"/>
      <c r="BB20" s="134"/>
      <c r="BC20" s="690">
        <f t="shared" si="20"/>
        <v>0</v>
      </c>
      <c r="BD20" s="690" t="e">
        <f t="shared" si="21"/>
        <v>#DIV/0!</v>
      </c>
      <c r="BE20" s="690">
        <f t="shared" si="22"/>
        <v>0.5</v>
      </c>
      <c r="BF20" s="690" t="e">
        <f t="shared" si="23"/>
        <v>#DIV/0!</v>
      </c>
      <c r="BG20" s="690"/>
      <c r="BH20" s="690">
        <v>0.25</v>
      </c>
      <c r="BI20" s="693" t="str">
        <f t="shared" si="38"/>
        <v>Solicitar la publicación del los giros ordenados por reclamaciones</v>
      </c>
      <c r="BJ20" s="691">
        <v>0</v>
      </c>
      <c r="BK20" s="134"/>
      <c r="BL20" s="134"/>
      <c r="BM20" s="690">
        <f t="shared" si="24"/>
        <v>0</v>
      </c>
      <c r="BN20" s="690" t="e">
        <f t="shared" si="25"/>
        <v>#DIV/0!</v>
      </c>
      <c r="BO20" s="690">
        <f t="shared" si="26"/>
        <v>0.5</v>
      </c>
      <c r="BP20" s="690" t="e">
        <f t="shared" si="27"/>
        <v>#DIV/0!</v>
      </c>
      <c r="BQ20" s="68"/>
      <c r="BR20" s="697">
        <f t="shared" si="28"/>
        <v>1</v>
      </c>
      <c r="BS20" s="697" t="str">
        <f t="shared" si="29"/>
        <v>No Prog ni Ejec</v>
      </c>
      <c r="BT20" s="697">
        <f t="shared" si="30"/>
        <v>1</v>
      </c>
      <c r="BU20" s="697" t="str">
        <f t="shared" si="31"/>
        <v>No Prog ni Ejec</v>
      </c>
      <c r="BV20" s="697">
        <f t="shared" si="32"/>
        <v>0</v>
      </c>
      <c r="BW20" s="697" t="str">
        <f t="shared" si="33"/>
        <v>No Prog ni Ejec</v>
      </c>
      <c r="BX20" s="697">
        <f t="shared" si="34"/>
        <v>0</v>
      </c>
      <c r="BY20" s="786" t="str">
        <f t="shared" si="35"/>
        <v>No Prog ni Ejec</v>
      </c>
      <c r="BZ20" s="157">
        <f t="shared" si="0"/>
        <v>0</v>
      </c>
    </row>
    <row r="21" spans="1:78" s="70" customFormat="1" ht="102" customHeight="1" x14ac:dyDescent="0.2">
      <c r="A21" s="967">
        <v>11600</v>
      </c>
      <c r="B21" s="693" t="s">
        <v>4</v>
      </c>
      <c r="C21" s="959" t="s">
        <v>330</v>
      </c>
      <c r="D21" s="129" t="s">
        <v>1023</v>
      </c>
      <c r="E21" s="129" t="s">
        <v>1023</v>
      </c>
      <c r="F21" s="968" t="s">
        <v>99</v>
      </c>
      <c r="G21" s="959" t="s">
        <v>348</v>
      </c>
      <c r="H21" s="969" t="s">
        <v>101</v>
      </c>
      <c r="I21" s="959" t="s">
        <v>341</v>
      </c>
      <c r="J21" s="695" t="s">
        <v>571</v>
      </c>
      <c r="K21" s="693" t="s">
        <v>1073</v>
      </c>
      <c r="L21" s="716" t="s">
        <v>51</v>
      </c>
      <c r="M21" s="698">
        <v>0.1</v>
      </c>
      <c r="N21" s="968" t="s">
        <v>104</v>
      </c>
      <c r="O21" s="959" t="s">
        <v>1081</v>
      </c>
      <c r="P21" s="963">
        <v>146880000</v>
      </c>
      <c r="Q21" s="964">
        <v>1</v>
      </c>
      <c r="R21" s="959" t="s">
        <v>18</v>
      </c>
      <c r="S21" s="959" t="s">
        <v>24</v>
      </c>
      <c r="T21" s="959" t="s">
        <v>634</v>
      </c>
      <c r="U21" s="959" t="s">
        <v>637</v>
      </c>
      <c r="V21" s="959" t="s">
        <v>1608</v>
      </c>
      <c r="W21" s="959" t="s">
        <v>1274</v>
      </c>
      <c r="X21" s="693" t="s">
        <v>1076</v>
      </c>
      <c r="Y21" s="959" t="s">
        <v>42</v>
      </c>
      <c r="Z21" s="480">
        <v>0.1</v>
      </c>
      <c r="AA21" s="959" t="str">
        <f>+O21</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21" s="965">
        <f>+P21</f>
        <v>146880000</v>
      </c>
      <c r="AC21" s="700" t="s">
        <v>46</v>
      </c>
      <c r="AD21" s="133">
        <v>2.5000000000000001E-2</v>
      </c>
      <c r="AE21" s="959" t="str">
        <f t="shared" si="36"/>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21" s="963">
        <f>+AB21/4</f>
        <v>36720000</v>
      </c>
      <c r="AG21" s="482">
        <f>(18595/743779)</f>
        <v>2.5000705854830534E-2</v>
      </c>
      <c r="AH21" s="1016">
        <f>(272000+4080000+4080000)+(272000+4080000+4080000)+(0+2448000+4080000)</f>
        <v>23392000</v>
      </c>
      <c r="AI21" s="690">
        <f t="shared" si="12"/>
        <v>1.0000282341932214</v>
      </c>
      <c r="AJ21" s="960">
        <f>+(AH21/AF21)</f>
        <v>0.63703703703703707</v>
      </c>
      <c r="AK21" s="690">
        <f>+(AG21/Z21)</f>
        <v>0.25000705854830535</v>
      </c>
      <c r="AL21" s="960">
        <f>+(AH21/AB21)</f>
        <v>0.15925925925925927</v>
      </c>
      <c r="AM21" s="483" t="s">
        <v>1758</v>
      </c>
      <c r="AN21" s="133">
        <v>2.5000000000000001E-2</v>
      </c>
      <c r="AO21" s="959" t="str">
        <f t="shared" si="3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21" s="963">
        <f>+AB21/4</f>
        <v>36720000</v>
      </c>
      <c r="AQ21" s="770">
        <f>(16307/652266)</f>
        <v>2.5000536590900031E-2</v>
      </c>
      <c r="AR21" s="963">
        <f>(4080000+4080000+4080000)+(4080000+4080000+4080000)+(4080000+4080000+4080000)</f>
        <v>36720000</v>
      </c>
      <c r="AS21" s="690">
        <f>+(AQ21/AN21)</f>
        <v>1.0000214636360012</v>
      </c>
      <c r="AT21" s="960">
        <f>+(AR21/AP21)</f>
        <v>1</v>
      </c>
      <c r="AU21" s="690">
        <f>+(AQ21+AG21)/Z21</f>
        <v>0.50001242445730565</v>
      </c>
      <c r="AV21" s="960">
        <f>+(AR21+AH21)/AB21</f>
        <v>0.40925925925925927</v>
      </c>
      <c r="AW21" s="516" t="s">
        <v>1759</v>
      </c>
      <c r="AX21" s="133">
        <v>2.5000000000000001E-2</v>
      </c>
      <c r="AY21" s="959" t="str">
        <f t="shared" si="3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21" s="963">
        <f>+AB21/4</f>
        <v>36720000</v>
      </c>
      <c r="BA21" s="134"/>
      <c r="BB21" s="1015"/>
      <c r="BC21" s="690">
        <f>+(BA21/AX21)</f>
        <v>0</v>
      </c>
      <c r="BD21" s="960">
        <f>+(BB21/AZ21)</f>
        <v>0</v>
      </c>
      <c r="BE21" s="690">
        <f>+(AQ21+AG21+BA21)/Z21</f>
        <v>0.50001242445730565</v>
      </c>
      <c r="BF21" s="960">
        <f>+(AR21+AH21+BB21)/AB21</f>
        <v>0.40925925925925927</v>
      </c>
      <c r="BG21" s="690"/>
      <c r="BH21" s="133">
        <v>2.5000000000000001E-2</v>
      </c>
      <c r="BI21" s="959" t="str">
        <f t="shared" si="3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21" s="963">
        <f>+AB21/4</f>
        <v>36720000</v>
      </c>
      <c r="BK21" s="134"/>
      <c r="BL21" s="1015"/>
      <c r="BM21" s="690">
        <f>+(BK21/BH21)</f>
        <v>0</v>
      </c>
      <c r="BN21" s="960">
        <f>+(BL21/BJ21)</f>
        <v>0</v>
      </c>
      <c r="BO21" s="690">
        <f>+(AQ21+AG21+BA21+BK21)/Z21</f>
        <v>0.50001242445730565</v>
      </c>
      <c r="BP21" s="960">
        <f>+(AR21+AH21+BB21+BL21)/AB21</f>
        <v>0.40925925925925927</v>
      </c>
      <c r="BQ21" s="68"/>
      <c r="BR21" s="697">
        <f>IF(AND(AD21=0,AG21=0),"No Prog ni Ejec",IF(AD21=0,CONCATENATE("No Prog, Ejec=  ",AG21),AG21/AD21))</f>
        <v>1.0000282341932214</v>
      </c>
      <c r="BS21" s="1018">
        <f>IF(AND(AF21=0,AH21=0),"No Prog ni Ejec",IF(AF21=0,CONCATENATE("No Prog, Ejec=  ",AH21),AH21/AF21))</f>
        <v>0.63703703703703707</v>
      </c>
      <c r="BT21" s="697">
        <f>IF(AND(AN21=0,AQ21=0),"No Prog ni Ejec",IF(AN21=0,CONCATENATE("No Prog, Ejec=  ",AQ21),AQ21/AN21))</f>
        <v>1.0000214636360012</v>
      </c>
      <c r="BU21" s="1018">
        <f>IF(AND(AP21=0,AR21=0),"No Prog ni Ejec",IF(AP21=0,CONCATENATE("No Prog, Ejec=  ",AR21),AR21/AP21))</f>
        <v>1</v>
      </c>
      <c r="BV21" s="697">
        <f>IF(AND(AX21=0,BA21=0),"No Prog ni Ejec",IF(AX21=0,CONCATENATE("No Prog, Ejec=  ",BA21),BA21/AX21))</f>
        <v>0</v>
      </c>
      <c r="BW21" s="1018">
        <f>IF(AND(AZ21=0,BB21=0),"No Prog ni Ejec",IF(AZ21=0,CONCATENATE("No Prog, Ejec=  ",BB21),BB21/AZ21))</f>
        <v>0</v>
      </c>
      <c r="BX21" s="697">
        <f>IF(AND(BH21=0,BK21=0),"No Prog ni Ejec",IF(BH21=0,CONCATENATE("No Prog, Ejec=  ",BK21),BK21/BH21))</f>
        <v>0</v>
      </c>
      <c r="BY21" s="1017">
        <f>IF(AND(BJ21=0,BL21=0),"No Prog ni Ejec",IF(BJ21=0,CONCATENATE("No Prog, Ejec=  ",BL21),BL21/BJ21))</f>
        <v>0</v>
      </c>
      <c r="BZ21" s="157">
        <f t="shared" si="0"/>
        <v>0</v>
      </c>
    </row>
    <row r="22" spans="1:78" s="70" customFormat="1" ht="51" x14ac:dyDescent="0.2">
      <c r="A22" s="967"/>
      <c r="B22" s="693" t="s">
        <v>4</v>
      </c>
      <c r="C22" s="959"/>
      <c r="D22" s="129" t="s">
        <v>1023</v>
      </c>
      <c r="E22" s="129" t="s">
        <v>1023</v>
      </c>
      <c r="F22" s="968"/>
      <c r="G22" s="959"/>
      <c r="H22" s="969"/>
      <c r="I22" s="959"/>
      <c r="J22" s="695" t="s">
        <v>1082</v>
      </c>
      <c r="K22" s="693" t="s">
        <v>1074</v>
      </c>
      <c r="L22" s="973" t="s">
        <v>51</v>
      </c>
      <c r="M22" s="957">
        <v>1</v>
      </c>
      <c r="N22" s="968"/>
      <c r="O22" s="959"/>
      <c r="P22" s="963"/>
      <c r="Q22" s="964"/>
      <c r="R22" s="959"/>
      <c r="S22" s="959"/>
      <c r="T22" s="959"/>
      <c r="U22" s="959"/>
      <c r="V22" s="959"/>
      <c r="W22" s="959"/>
      <c r="X22" s="959" t="s">
        <v>1078</v>
      </c>
      <c r="Y22" s="959"/>
      <c r="Z22" s="957">
        <v>1</v>
      </c>
      <c r="AA22" s="959"/>
      <c r="AB22" s="965"/>
      <c r="AC22" s="700" t="s">
        <v>46</v>
      </c>
      <c r="AD22" s="960">
        <v>0.25</v>
      </c>
      <c r="AE22" s="959"/>
      <c r="AF22" s="963"/>
      <c r="AG22" s="1052">
        <f>(((((44760+36947)/81707)+((1745+4284)/6029))*AD22))/2</f>
        <v>0.25</v>
      </c>
      <c r="AH22" s="1016"/>
      <c r="AI22" s="960">
        <f>+(AG22/AD22)</f>
        <v>1</v>
      </c>
      <c r="AJ22" s="960"/>
      <c r="AK22" s="960">
        <f>+(AG22/Z22)</f>
        <v>0.25</v>
      </c>
      <c r="AL22" s="960"/>
      <c r="AM22" s="966" t="s">
        <v>1321</v>
      </c>
      <c r="AN22" s="960">
        <v>0.25</v>
      </c>
      <c r="AO22" s="959"/>
      <c r="AP22" s="963"/>
      <c r="AQ22" s="954">
        <f>(((912+0)/912)*AN22+((27386+45895 )/73281)*AN22)/2</f>
        <v>0.25</v>
      </c>
      <c r="AR22" s="963"/>
      <c r="AS22" s="960">
        <f>+(AQ22/AN22)</f>
        <v>1</v>
      </c>
      <c r="AT22" s="960"/>
      <c r="AU22" s="960">
        <f>+(AQ22+AG22)/Z21</f>
        <v>5</v>
      </c>
      <c r="AV22" s="960"/>
      <c r="AW22" s="961" t="s">
        <v>1679</v>
      </c>
      <c r="AX22" s="960">
        <v>0.25</v>
      </c>
      <c r="AY22" s="959"/>
      <c r="AZ22" s="963"/>
      <c r="BA22" s="1015"/>
      <c r="BB22" s="1015"/>
      <c r="BC22" s="960">
        <f>+(BA22/AX22)</f>
        <v>0</v>
      </c>
      <c r="BD22" s="960"/>
      <c r="BE22" s="960">
        <f>+(AQ22+AG22+BA22)/Z21</f>
        <v>5</v>
      </c>
      <c r="BF22" s="960"/>
      <c r="BG22" s="690"/>
      <c r="BH22" s="960">
        <v>0.25</v>
      </c>
      <c r="BI22" s="959"/>
      <c r="BJ22" s="963"/>
      <c r="BK22" s="1015"/>
      <c r="BL22" s="1015"/>
      <c r="BM22" s="960">
        <f>+(BK22/BH22)</f>
        <v>0</v>
      </c>
      <c r="BN22" s="960"/>
      <c r="BO22" s="960">
        <f>+(AQ22+AG22+BA22+BK22)/Z21</f>
        <v>5</v>
      </c>
      <c r="BP22" s="960"/>
      <c r="BQ22" s="68"/>
      <c r="BR22" s="1018">
        <f>IF(AND(AD22=0,AG22=0),"No Prog ni Ejec",IF(AD22=0,CONCATENATE("No Prog, Ejec=  ",AG22),AG22/AD22))</f>
        <v>1</v>
      </c>
      <c r="BS22" s="1018"/>
      <c r="BT22" s="1018">
        <f>IF(AND(AN22=0,AQ22=0),"No Prog ni Ejec",IF(AN22=0,CONCATENATE("No Prog, Ejec=  ",AQ22),AQ22/AN22))</f>
        <v>1</v>
      </c>
      <c r="BU22" s="1018"/>
      <c r="BV22" s="1018">
        <f>IF(AND(AX22=0,BA22=0),"No Prog ni Ejec",IF(AX22=0,CONCATENATE("No Prog, Ejec=  ",BA22),BA22/AX22))</f>
        <v>0</v>
      </c>
      <c r="BW22" s="1018"/>
      <c r="BX22" s="1018">
        <f>IF(AND(BH22=0,BK22=0),"No Prog ni Ejec",IF(BH22=0,CONCATENATE("No Prog, Ejec=  ",BK22),BK22/BH22))</f>
        <v>0</v>
      </c>
      <c r="BY22" s="1017"/>
      <c r="BZ22" s="157">
        <f t="shared" si="0"/>
        <v>0</v>
      </c>
    </row>
    <row r="23" spans="1:78" s="70" customFormat="1" ht="63.75" x14ac:dyDescent="0.2">
      <c r="A23" s="967"/>
      <c r="B23" s="693" t="s">
        <v>4</v>
      </c>
      <c r="C23" s="959"/>
      <c r="D23" s="129" t="s">
        <v>1023</v>
      </c>
      <c r="E23" s="129" t="s">
        <v>1023</v>
      </c>
      <c r="F23" s="968"/>
      <c r="G23" s="959"/>
      <c r="H23" s="969"/>
      <c r="I23" s="959"/>
      <c r="J23" s="695" t="s">
        <v>1083</v>
      </c>
      <c r="K23" s="693" t="s">
        <v>1075</v>
      </c>
      <c r="L23" s="973"/>
      <c r="M23" s="957"/>
      <c r="N23" s="968"/>
      <c r="O23" s="959"/>
      <c r="P23" s="963"/>
      <c r="Q23" s="964"/>
      <c r="R23" s="959"/>
      <c r="S23" s="959"/>
      <c r="T23" s="959"/>
      <c r="U23" s="959"/>
      <c r="V23" s="959"/>
      <c r="W23" s="959"/>
      <c r="X23" s="959"/>
      <c r="Y23" s="959"/>
      <c r="Z23" s="957"/>
      <c r="AA23" s="959"/>
      <c r="AB23" s="965"/>
      <c r="AC23" s="700" t="s">
        <v>46</v>
      </c>
      <c r="AD23" s="960"/>
      <c r="AE23" s="959"/>
      <c r="AF23" s="963"/>
      <c r="AG23" s="1052"/>
      <c r="AH23" s="1016"/>
      <c r="AI23" s="960"/>
      <c r="AJ23" s="960"/>
      <c r="AK23" s="960"/>
      <c r="AL23" s="960"/>
      <c r="AM23" s="954"/>
      <c r="AN23" s="960"/>
      <c r="AO23" s="959"/>
      <c r="AP23" s="963"/>
      <c r="AQ23" s="954"/>
      <c r="AR23" s="963"/>
      <c r="AS23" s="960"/>
      <c r="AT23" s="960"/>
      <c r="AU23" s="960"/>
      <c r="AV23" s="960"/>
      <c r="AW23" s="962"/>
      <c r="AX23" s="960"/>
      <c r="AY23" s="959"/>
      <c r="AZ23" s="963"/>
      <c r="BA23" s="1015"/>
      <c r="BB23" s="1015"/>
      <c r="BC23" s="960"/>
      <c r="BD23" s="960"/>
      <c r="BE23" s="960"/>
      <c r="BF23" s="960"/>
      <c r="BG23" s="690"/>
      <c r="BH23" s="960"/>
      <c r="BI23" s="959"/>
      <c r="BJ23" s="963"/>
      <c r="BK23" s="1015"/>
      <c r="BL23" s="1015"/>
      <c r="BM23" s="960"/>
      <c r="BN23" s="960"/>
      <c r="BO23" s="960"/>
      <c r="BP23" s="960"/>
      <c r="BQ23" s="68"/>
      <c r="BR23" s="1018"/>
      <c r="BS23" s="1018"/>
      <c r="BT23" s="1018"/>
      <c r="BU23" s="1018"/>
      <c r="BV23" s="1018"/>
      <c r="BW23" s="1018"/>
      <c r="BX23" s="1018"/>
      <c r="BY23" s="1017"/>
      <c r="BZ23" s="157">
        <f t="shared" si="0"/>
        <v>0</v>
      </c>
    </row>
    <row r="24" spans="1:78" s="70" customFormat="1" ht="152.25" customHeight="1" x14ac:dyDescent="0.2">
      <c r="A24" s="967"/>
      <c r="B24" s="693" t="s">
        <v>4</v>
      </c>
      <c r="C24" s="959"/>
      <c r="D24" s="129" t="s">
        <v>1023</v>
      </c>
      <c r="E24" s="129" t="s">
        <v>1023</v>
      </c>
      <c r="F24" s="968"/>
      <c r="G24" s="959"/>
      <c r="H24" s="969"/>
      <c r="I24" s="959"/>
      <c r="J24" s="695" t="s">
        <v>1084</v>
      </c>
      <c r="K24" s="693" t="s">
        <v>386</v>
      </c>
      <c r="L24" s="716" t="s">
        <v>51</v>
      </c>
      <c r="M24" s="698">
        <v>1</v>
      </c>
      <c r="N24" s="968"/>
      <c r="O24" s="959"/>
      <c r="P24" s="963"/>
      <c r="Q24" s="964"/>
      <c r="R24" s="959"/>
      <c r="S24" s="959"/>
      <c r="T24" s="959"/>
      <c r="U24" s="959"/>
      <c r="V24" s="959"/>
      <c r="W24" s="959"/>
      <c r="X24" s="693" t="s">
        <v>1077</v>
      </c>
      <c r="Y24" s="959"/>
      <c r="Z24" s="480">
        <v>1</v>
      </c>
      <c r="AA24" s="959"/>
      <c r="AB24" s="965"/>
      <c r="AC24" s="700" t="s">
        <v>46</v>
      </c>
      <c r="AD24" s="698">
        <v>0.25</v>
      </c>
      <c r="AE24" s="959"/>
      <c r="AF24" s="963"/>
      <c r="AG24" s="519">
        <f>(((632/642)+(55/55))/2)*AD24</f>
        <v>0.24805295950155765</v>
      </c>
      <c r="AH24" s="1016"/>
      <c r="AI24" s="690">
        <f>+(AG24/AD24)</f>
        <v>0.99221183800623058</v>
      </c>
      <c r="AJ24" s="960"/>
      <c r="AK24" s="690">
        <f>+(AG24/Z24)</f>
        <v>0.24805295950155765</v>
      </c>
      <c r="AL24" s="960"/>
      <c r="AM24" s="499" t="s">
        <v>1322</v>
      </c>
      <c r="AN24" s="698">
        <v>0.25</v>
      </c>
      <c r="AO24" s="959"/>
      <c r="AP24" s="963"/>
      <c r="AQ24" s="519">
        <f>(((1338)/1339)*AN24+((554 )/554)*AN24)/2</f>
        <v>0.24990664675130694</v>
      </c>
      <c r="AR24" s="963"/>
      <c r="AS24" s="690">
        <f>+(AQ24/AN24)</f>
        <v>0.99962658700522777</v>
      </c>
      <c r="AT24" s="960"/>
      <c r="AU24" s="690">
        <f>+(AQ24+AG24)/Z21</f>
        <v>4.9795960625286462</v>
      </c>
      <c r="AV24" s="960"/>
      <c r="AW24" s="516" t="s">
        <v>1680</v>
      </c>
      <c r="AX24" s="698">
        <v>0.25</v>
      </c>
      <c r="AY24" s="959"/>
      <c r="AZ24" s="963"/>
      <c r="BA24" s="134"/>
      <c r="BB24" s="1015"/>
      <c r="BC24" s="690">
        <f>+(BA24/AX24)</f>
        <v>0</v>
      </c>
      <c r="BD24" s="960"/>
      <c r="BE24" s="690">
        <f>+(AQ24+AG24+BA24)/Z21</f>
        <v>4.9795960625286462</v>
      </c>
      <c r="BF24" s="960"/>
      <c r="BG24" s="690"/>
      <c r="BH24" s="698">
        <v>0.25</v>
      </c>
      <c r="BI24" s="959"/>
      <c r="BJ24" s="963"/>
      <c r="BK24" s="134"/>
      <c r="BL24" s="1015"/>
      <c r="BM24" s="690">
        <f>+(BK24/BH24)</f>
        <v>0</v>
      </c>
      <c r="BN24" s="960"/>
      <c r="BO24" s="690">
        <f>+(AQ24+AG24+BA24+BK24)/Z21</f>
        <v>4.9795960625286462</v>
      </c>
      <c r="BP24" s="960"/>
      <c r="BQ24" s="68"/>
      <c r="BR24" s="697">
        <f>IF(AND(AD24=0,AG24=0),"No Prog ni Ejec",IF(AD24=0,CONCATENATE("No Prog, Ejec=  ",AG24),AG24/AD24))</f>
        <v>0.99221183800623058</v>
      </c>
      <c r="BS24" s="1018"/>
      <c r="BT24" s="697">
        <f>IF(AND(AN24=0,AQ24=0),"No Prog ni Ejec",IF(AN24=0,CONCATENATE("No Prog, Ejec=  ",AQ24),AQ24/AN24))</f>
        <v>0.99962658700522777</v>
      </c>
      <c r="BU24" s="1018"/>
      <c r="BV24" s="697">
        <f>IF(AND(AX24=0,BA24=0),"No Prog ni Ejec",IF(AX24=0,CONCATENATE("No Prog, Ejec=  ",BA24),BA24/AX24))</f>
        <v>0</v>
      </c>
      <c r="BW24" s="1018"/>
      <c r="BX24" s="697">
        <f>IF(AND(BH24=0,BK24=0),"No Prog ni Ejec",IF(BH24=0,CONCATENATE("No Prog, Ejec=  ",BK24),BK24/BH24))</f>
        <v>0</v>
      </c>
      <c r="BY24" s="1017"/>
      <c r="BZ24" s="157">
        <f t="shared" si="0"/>
        <v>0</v>
      </c>
    </row>
    <row r="25" spans="1:78" s="70" customFormat="1" ht="150.75" customHeight="1" x14ac:dyDescent="0.2">
      <c r="A25" s="785">
        <v>11600</v>
      </c>
      <c r="B25" s="693" t="s">
        <v>4</v>
      </c>
      <c r="C25" s="693" t="s">
        <v>330</v>
      </c>
      <c r="D25" s="129" t="s">
        <v>1023</v>
      </c>
      <c r="E25" s="129" t="s">
        <v>1023</v>
      </c>
      <c r="F25" s="695" t="s">
        <v>99</v>
      </c>
      <c r="G25" s="693" t="s">
        <v>348</v>
      </c>
      <c r="H25" s="130" t="s">
        <v>101</v>
      </c>
      <c r="I25" s="693" t="s">
        <v>341</v>
      </c>
      <c r="J25" s="130" t="s">
        <v>573</v>
      </c>
      <c r="K25" s="693" t="s">
        <v>915</v>
      </c>
      <c r="L25" s="716" t="s">
        <v>51</v>
      </c>
      <c r="M25" s="698">
        <v>1</v>
      </c>
      <c r="N25" s="130" t="s">
        <v>572</v>
      </c>
      <c r="O25" s="693" t="s">
        <v>914</v>
      </c>
      <c r="P25" s="691">
        <f>255645072+110602068+364000000+277671089</f>
        <v>1007918229</v>
      </c>
      <c r="Q25" s="706">
        <v>1</v>
      </c>
      <c r="R25" s="693" t="s">
        <v>18</v>
      </c>
      <c r="S25" s="693" t="s">
        <v>24</v>
      </c>
      <c r="T25" s="693" t="s">
        <v>634</v>
      </c>
      <c r="U25" s="693" t="s">
        <v>637</v>
      </c>
      <c r="V25" s="693" t="s">
        <v>81</v>
      </c>
      <c r="W25" s="693" t="s">
        <v>1275</v>
      </c>
      <c r="X25" s="693" t="s">
        <v>1311</v>
      </c>
      <c r="Y25" s="693" t="s">
        <v>44</v>
      </c>
      <c r="Z25" s="698">
        <v>1</v>
      </c>
      <c r="AA25" s="693" t="str">
        <f t="shared" ref="AA25:AB30" si="40">+O25</f>
        <v>Desarrollo, soporte, mantenimiento, actualización e integración de los aplicativos que soportan las operaciones misionales de la Entidad</v>
      </c>
      <c r="AB25" s="703">
        <f t="shared" si="40"/>
        <v>1007918229</v>
      </c>
      <c r="AC25" s="700" t="s">
        <v>46</v>
      </c>
      <c r="AD25" s="698">
        <v>0.25</v>
      </c>
      <c r="AE25" s="693" t="str">
        <f>+AA25</f>
        <v>Desarrollo, soporte, mantenimiento, actualización e integración de los aplicativos que soportan las operaciones misionales de la Entidad</v>
      </c>
      <c r="AF25" s="691">
        <f t="shared" ref="AF25:AF31" si="41">+AB25/4</f>
        <v>251979557.25</v>
      </c>
      <c r="AG25" s="519">
        <f>(763/768)*AD25</f>
        <v>0.24837239583333334</v>
      </c>
      <c r="AH25" s="691">
        <f>(342456+5136839+5136839)+(0+4623155+5136839)+(0+3672000+4080000)+(147680+4430407+4430407)+(952000-544000+4080000+4080000)</f>
        <v>45704622</v>
      </c>
      <c r="AI25" s="690">
        <f>+(AG25/AD25)</f>
        <v>0.99348958333333337</v>
      </c>
      <c r="AJ25" s="690">
        <f>+(AH25/AF25)</f>
        <v>0.18138226171520111</v>
      </c>
      <c r="AK25" s="690">
        <f>+(AG25/Z25)</f>
        <v>0.24837239583333334</v>
      </c>
      <c r="AL25" s="690">
        <f>+(AH25/AB25)</f>
        <v>4.5345565428800277E-2</v>
      </c>
      <c r="AM25" s="499" t="s">
        <v>1760</v>
      </c>
      <c r="AN25" s="698">
        <v>0.25</v>
      </c>
      <c r="AO25" s="693" t="str">
        <f>+AA25</f>
        <v>Desarrollo, soporte, mantenimiento, actualización e integración de los aplicativos que soportan las operaciones misionales de la Entidad</v>
      </c>
      <c r="AP25" s="691">
        <f t="shared" ref="AP25:AP31" si="42">+AB25/4</f>
        <v>251979557.25</v>
      </c>
      <c r="AQ25" s="519">
        <f>(1471/1474)*AN25</f>
        <v>0.2494911804613297</v>
      </c>
      <c r="AR25" s="691">
        <f>(5136839+5136839+5136839) + (5136839+5136839+5136839) + (4080000+4080000+4080000)+(4430407+4282726+0)+ (4080000+4080000+4080000)</f>
        <v>64014167</v>
      </c>
      <c r="AS25" s="690">
        <f>+(AQ25/AN25)</f>
        <v>0.99796472184531881</v>
      </c>
      <c r="AT25" s="690">
        <f>+(AR25/AP25)</f>
        <v>0.2540450808733215</v>
      </c>
      <c r="AU25" s="690">
        <f>+(AQ25+AG25)/Z25</f>
        <v>0.49786357629466305</v>
      </c>
      <c r="AV25" s="690">
        <f>+(AR25+AH25)/AB25</f>
        <v>0.10885683564713065</v>
      </c>
      <c r="AW25" s="516" t="s">
        <v>1761</v>
      </c>
      <c r="AX25" s="698">
        <v>0.25</v>
      </c>
      <c r="AY25" s="693" t="str">
        <f>+AA25</f>
        <v>Desarrollo, soporte, mantenimiento, actualización e integración de los aplicativos que soportan las operaciones misionales de la Entidad</v>
      </c>
      <c r="AZ25" s="691">
        <f t="shared" ref="AZ25:AZ31" si="43">+AB25/4</f>
        <v>251979557.25</v>
      </c>
      <c r="BA25" s="134"/>
      <c r="BB25" s="134"/>
      <c r="BC25" s="690">
        <f>+(BA25/AX25)</f>
        <v>0</v>
      </c>
      <c r="BD25" s="690">
        <f>+(BB25/AZ25)</f>
        <v>0</v>
      </c>
      <c r="BE25" s="690">
        <f>+(AQ25+AG25+BA25)/Z25</f>
        <v>0.49786357629466305</v>
      </c>
      <c r="BF25" s="690">
        <f>+(AR25+AH25+BB25)/AB25</f>
        <v>0.10885683564713065</v>
      </c>
      <c r="BG25" s="690"/>
      <c r="BH25" s="698">
        <v>0.25</v>
      </c>
      <c r="BI25" s="693" t="str">
        <f>+AA25</f>
        <v>Desarrollo, soporte, mantenimiento, actualización e integración de los aplicativos que soportan las operaciones misionales de la Entidad</v>
      </c>
      <c r="BJ25" s="691">
        <f t="shared" ref="BJ25:BJ31" si="44">+AB25/4</f>
        <v>251979557.25</v>
      </c>
      <c r="BK25" s="134"/>
      <c r="BL25" s="134"/>
      <c r="BM25" s="690">
        <f>+(BK25/BH25)</f>
        <v>0</v>
      </c>
      <c r="BN25" s="690">
        <f>+(BL25/BJ25)</f>
        <v>0</v>
      </c>
      <c r="BO25" s="690">
        <f>+(AQ25+AG25+BA25+BK25)/Z25</f>
        <v>0.49786357629466305</v>
      </c>
      <c r="BP25" s="690">
        <f>+(AR25+AH25+BB25+BL25)/AB25</f>
        <v>0.10885683564713065</v>
      </c>
      <c r="BQ25" s="68"/>
      <c r="BR25" s="697">
        <f>IF(AND(AD25=0,AG25=0),"No Prog ni Ejec",IF(AD25=0,CONCATENATE("No Prog, Ejec=  ",AG25),AG25/AD25))</f>
        <v>0.99348958333333337</v>
      </c>
      <c r="BS25" s="697">
        <f>IF(AND(AF25=0,AH25=0),"No Prog ni Ejec",IF(AF25=0,CONCATENATE("No Prog, Ejec=  ",AH25),AH25/AF25))</f>
        <v>0.18138226171520111</v>
      </c>
      <c r="BT25" s="697">
        <f>IF(AND(AN25=0,AQ25=0),"No Prog ni Ejec",IF(AN25=0,CONCATENATE("No Prog, Ejec=  ",AQ25),AQ25/AN25))</f>
        <v>0.99796472184531881</v>
      </c>
      <c r="BU25" s="697">
        <f>IF(AND(AP25=0,AR25=0),"No Prog ni Ejec",IF(AP25=0,CONCATENATE("No Prog, Ejec=  ",AR25),AR25/AP25))</f>
        <v>0.2540450808733215</v>
      </c>
      <c r="BV25" s="697">
        <f>IF(AND(AX25=0,BA25=0),"No Prog ni Ejec",IF(AX25=0,CONCATENATE("No Prog, Ejec=  ",BA25),BA25/AX25))</f>
        <v>0</v>
      </c>
      <c r="BW25" s="697">
        <f>IF(AND(AZ25=0,BB25=0),"No Prog ni Ejec",IF(AZ25=0,CONCATENATE("No Prog, Ejec=  ",BB25),BB25/AZ25))</f>
        <v>0</v>
      </c>
      <c r="BX25" s="697">
        <f>IF(AND(BH25=0,BK25=0),"No Prog ni Ejec",IF(BH25=0,CONCATENATE("No Prog, Ejec=  ",BK25),BK25/BH25))</f>
        <v>0</v>
      </c>
      <c r="BY25" s="786">
        <f>IF(AND(BJ25=0,BL25=0),"No Prog ni Ejec",IF(BJ25=0,CONCATENATE("No Prog, Ejec=  ",BL25),BL25/BJ25))</f>
        <v>0</v>
      </c>
      <c r="BZ25" s="157">
        <f t="shared" si="0"/>
        <v>0</v>
      </c>
    </row>
    <row r="26" spans="1:78" s="70" customFormat="1" ht="140.25" x14ac:dyDescent="0.2">
      <c r="A26" s="785">
        <v>11400</v>
      </c>
      <c r="B26" s="693" t="s">
        <v>12</v>
      </c>
      <c r="C26" s="693" t="s">
        <v>330</v>
      </c>
      <c r="D26" s="129" t="s">
        <v>1023</v>
      </c>
      <c r="E26" s="129" t="s">
        <v>1023</v>
      </c>
      <c r="F26" s="695" t="s">
        <v>65</v>
      </c>
      <c r="G26" s="693" t="s">
        <v>344</v>
      </c>
      <c r="H26" s="695" t="s">
        <v>66</v>
      </c>
      <c r="I26" s="693" t="s">
        <v>340</v>
      </c>
      <c r="J26" s="695" t="s">
        <v>1087</v>
      </c>
      <c r="K26" s="693" t="s">
        <v>401</v>
      </c>
      <c r="L26" s="716" t="s">
        <v>51</v>
      </c>
      <c r="M26" s="698">
        <v>1</v>
      </c>
      <c r="N26" s="695" t="s">
        <v>114</v>
      </c>
      <c r="O26" s="693" t="s">
        <v>356</v>
      </c>
      <c r="P26" s="691">
        <v>100435620</v>
      </c>
      <c r="Q26" s="706">
        <v>1</v>
      </c>
      <c r="R26" s="693" t="s">
        <v>17</v>
      </c>
      <c r="S26" s="693" t="s">
        <v>295</v>
      </c>
      <c r="T26" s="693" t="s">
        <v>634</v>
      </c>
      <c r="U26" s="693" t="s">
        <v>637</v>
      </c>
      <c r="V26" s="693" t="s">
        <v>75</v>
      </c>
      <c r="W26" s="693" t="s">
        <v>1278</v>
      </c>
      <c r="X26" s="693" t="s">
        <v>420</v>
      </c>
      <c r="Y26" s="693" t="s">
        <v>204</v>
      </c>
      <c r="Z26" s="706">
        <v>1</v>
      </c>
      <c r="AA26" s="693" t="str">
        <f t="shared" si="40"/>
        <v xml:space="preserve">Realizar el proceso de saneamiento de aportes patronales y el consecuente cierre de las cuentas bancarias de SGP, conforme al cronograma adoptado. </v>
      </c>
      <c r="AB26" s="703">
        <f t="shared" si="40"/>
        <v>100435620</v>
      </c>
      <c r="AC26" s="700" t="s">
        <v>46</v>
      </c>
      <c r="AD26" s="698">
        <v>0.25</v>
      </c>
      <c r="AE26" s="693" t="str">
        <f t="shared" ref="AE26:AE38" si="45">+AA26</f>
        <v xml:space="preserve">Realizar el proceso de saneamiento de aportes patronales y el consecuente cierre de las cuentas bancarias de SGP, conforme al cronograma adoptado. </v>
      </c>
      <c r="AF26" s="691">
        <f t="shared" si="41"/>
        <v>25108905</v>
      </c>
      <c r="AG26" s="706">
        <f>(2/2)*25%</f>
        <v>0.25</v>
      </c>
      <c r="AH26" s="511">
        <v>18971173</v>
      </c>
      <c r="AI26" s="690">
        <f t="shared" ref="AI26:AI38" si="46">+(AG26/AD26)</f>
        <v>1</v>
      </c>
      <c r="AJ26" s="690">
        <f t="shared" ref="AJ26:AJ38" si="47">+(AH26/AF26)</f>
        <v>0.75555556883105812</v>
      </c>
      <c r="AK26" s="690">
        <f t="shared" ref="AK26:AK38" si="48">+(AG26/Z26)</f>
        <v>0.25</v>
      </c>
      <c r="AL26" s="690">
        <f t="shared" ref="AL26:AL38" si="49">+(AH26/AB26)</f>
        <v>0.18888889220776453</v>
      </c>
      <c r="AM26" s="484" t="s">
        <v>1373</v>
      </c>
      <c r="AN26" s="698">
        <v>0.25</v>
      </c>
      <c r="AO26" s="693" t="str">
        <f t="shared" ref="AO26:AO38" si="50">+AA26</f>
        <v xml:space="preserve">Realizar el proceso de saneamiento de aportes patronales y el consecuente cierre de las cuentas bancarias de SGP, conforme al cronograma adoptado. </v>
      </c>
      <c r="AP26" s="691">
        <f t="shared" si="42"/>
        <v>25108905</v>
      </c>
      <c r="AQ26" s="514">
        <v>0.25</v>
      </c>
      <c r="AR26" s="511">
        <v>25108905</v>
      </c>
      <c r="AS26" s="690">
        <f t="shared" ref="AS26:AS38" si="51">+(AQ26/AN26)</f>
        <v>1</v>
      </c>
      <c r="AT26" s="690">
        <f t="shared" ref="AT26:AT38" si="52">+(AR26/AP26)</f>
        <v>1</v>
      </c>
      <c r="AU26" s="690">
        <f t="shared" ref="AU26:AU38" si="53">+(AQ26+AG26)/Z26</f>
        <v>0.5</v>
      </c>
      <c r="AV26" s="690">
        <f t="shared" ref="AV26:AV38" si="54">+(AR26+AH26)/AB26</f>
        <v>0.43888889220776456</v>
      </c>
      <c r="AW26" s="516" t="s">
        <v>1696</v>
      </c>
      <c r="AX26" s="698">
        <v>0.25</v>
      </c>
      <c r="AY26" s="693" t="str">
        <f t="shared" ref="AY26:AY38" si="55">+AA26</f>
        <v xml:space="preserve">Realizar el proceso de saneamiento de aportes patronales y el consecuente cierre de las cuentas bancarias de SGP, conforme al cronograma adoptado. </v>
      </c>
      <c r="AZ26" s="691">
        <f t="shared" si="43"/>
        <v>25108905</v>
      </c>
      <c r="BA26" s="134"/>
      <c r="BB26" s="134"/>
      <c r="BC26" s="690">
        <f t="shared" ref="BC26:BC38" si="56">+(BA26/AX26)</f>
        <v>0</v>
      </c>
      <c r="BD26" s="690">
        <f t="shared" ref="BD26:BD38" si="57">+(BB26/AZ26)</f>
        <v>0</v>
      </c>
      <c r="BE26" s="690">
        <f t="shared" ref="BE26:BE38" si="58">+(AQ26+AG26+BA26)/Z26</f>
        <v>0.5</v>
      </c>
      <c r="BF26" s="690">
        <f t="shared" ref="BF26:BF38" si="59">+(AR26+AH26+BB26)/AB26</f>
        <v>0.43888889220776456</v>
      </c>
      <c r="BG26" s="690"/>
      <c r="BH26" s="698">
        <v>0.25</v>
      </c>
      <c r="BI26" s="693" t="str">
        <f t="shared" ref="BI26:BI38" si="60">+AA26</f>
        <v xml:space="preserve">Realizar el proceso de saneamiento de aportes patronales y el consecuente cierre de las cuentas bancarias de SGP, conforme al cronograma adoptado. </v>
      </c>
      <c r="BJ26" s="691">
        <f t="shared" si="44"/>
        <v>25108905</v>
      </c>
      <c r="BK26" s="134"/>
      <c r="BL26" s="134"/>
      <c r="BM26" s="698">
        <f t="shared" ref="BM26:BM38" si="61">+(BK26/BH26)</f>
        <v>0</v>
      </c>
      <c r="BN26" s="698">
        <f t="shared" ref="BN26:BN38" si="62">+(BL26/BJ26)</f>
        <v>0</v>
      </c>
      <c r="BO26" s="698">
        <f t="shared" ref="BO26:BO38" si="63">+(AQ26+AG26+BA26+BK26)/Z26</f>
        <v>0.5</v>
      </c>
      <c r="BP26" s="698">
        <f t="shared" ref="BP26:BP38" si="64">+(AR26+AH26+BB26+BL26)/AB26</f>
        <v>0.43888889220776456</v>
      </c>
      <c r="BQ26" s="698"/>
      <c r="BR26" s="697">
        <f t="shared" ref="BR26:BR38" si="65">IF(AND(AD26=0,AG26=0),"No Prog ni Ejec",IF(AD26=0,CONCATENATE("No Prog, Ejec=  ",AG26),AG26/AD26))</f>
        <v>1</v>
      </c>
      <c r="BS26" s="697">
        <f t="shared" ref="BS26:BS38" si="66">IF(AND(AF26=0,AH26=0),"No Prog ni Ejec",IF(AF26=0,CONCATENATE("No Prog, Ejec=  ",AH26),AH26/AF26))</f>
        <v>0.75555556883105812</v>
      </c>
      <c r="BT26" s="697">
        <f t="shared" ref="BT26:BT38" si="67">IF(AND(AN26=0,AQ26=0),"No Prog ni Ejec",IF(AN26=0,CONCATENATE("No Prog, Ejec=  ",AQ26),AQ26/AN26))</f>
        <v>1</v>
      </c>
      <c r="BU26" s="697">
        <f t="shared" ref="BU26:BU38" si="68">IF(AND(AP26=0,AR26=0),"No Prog ni Ejec",IF(AP26=0,CONCATENATE("No Prog, Ejec=  ",AR26),AR26/AP26))</f>
        <v>1</v>
      </c>
      <c r="BV26" s="697">
        <f t="shared" ref="BV26:BV38" si="69">IF(AND(AX26=0,BA26=0),"No Prog ni Ejec",IF(AX26=0,CONCATENATE("No Prog, Ejec=  ",BA26),BA26/AX26))</f>
        <v>0</v>
      </c>
      <c r="BW26" s="697">
        <f t="shared" ref="BW26:BW38" si="70">IF(AND(AZ26=0,BB26=0),"No Prog ni Ejec",IF(AZ26=0,CONCATENATE("No Prog, Ejec=  ",BB26),BB26/AZ26))</f>
        <v>0</v>
      </c>
      <c r="BX26" s="697">
        <f t="shared" ref="BX26:BX38" si="71">IF(AND(BH26=0,BK26=0),"No Prog ni Ejec",IF(BH26=0,CONCATENATE("No Prog, Ejec=  ",BK26),BK26/BH26))</f>
        <v>0</v>
      </c>
      <c r="BY26" s="786">
        <f t="shared" ref="BY26:BY38" si="72">IF(AND(BJ26=0,BL26=0),"No Prog ni Ejec",IF(BJ26=0,CONCATENATE("No Prog, Ejec=  ",BL26),BL26/BJ26))</f>
        <v>0</v>
      </c>
      <c r="BZ26" s="157">
        <f t="shared" si="0"/>
        <v>0</v>
      </c>
    </row>
    <row r="27" spans="1:78" s="70" customFormat="1" ht="197.25" customHeight="1" x14ac:dyDescent="0.2">
      <c r="A27" s="785">
        <v>11400</v>
      </c>
      <c r="B27" s="693" t="s">
        <v>12</v>
      </c>
      <c r="C27" s="693" t="s">
        <v>330</v>
      </c>
      <c r="D27" s="129" t="s">
        <v>1023</v>
      </c>
      <c r="E27" s="129" t="s">
        <v>1023</v>
      </c>
      <c r="F27" s="695" t="s">
        <v>65</v>
      </c>
      <c r="G27" s="693" t="s">
        <v>344</v>
      </c>
      <c r="H27" s="695" t="s">
        <v>66</v>
      </c>
      <c r="I27" s="693" t="s">
        <v>340</v>
      </c>
      <c r="J27" s="695" t="s">
        <v>968</v>
      </c>
      <c r="K27" s="693" t="s">
        <v>434</v>
      </c>
      <c r="L27" s="716" t="s">
        <v>391</v>
      </c>
      <c r="M27" s="66">
        <v>4</v>
      </c>
      <c r="N27" s="695" t="s">
        <v>976</v>
      </c>
      <c r="O27" s="693" t="s">
        <v>357</v>
      </c>
      <c r="P27" s="691">
        <v>233474760</v>
      </c>
      <c r="Q27" s="706">
        <v>1</v>
      </c>
      <c r="R27" s="693" t="s">
        <v>17</v>
      </c>
      <c r="S27" s="693" t="s">
        <v>295</v>
      </c>
      <c r="T27" s="693" t="s">
        <v>634</v>
      </c>
      <c r="U27" s="693" t="s">
        <v>637</v>
      </c>
      <c r="V27" s="693" t="s">
        <v>1044</v>
      </c>
      <c r="W27" s="693" t="s">
        <v>1279</v>
      </c>
      <c r="X27" s="693" t="s">
        <v>400</v>
      </c>
      <c r="Y27" s="693" t="s">
        <v>204</v>
      </c>
      <c r="Z27" s="67">
        <v>4</v>
      </c>
      <c r="AA27" s="693" t="str">
        <f t="shared" si="40"/>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B27" s="703">
        <f t="shared" si="40"/>
        <v>233474760</v>
      </c>
      <c r="AC27" s="700" t="s">
        <v>46</v>
      </c>
      <c r="AD27" s="66">
        <v>0</v>
      </c>
      <c r="AE27" s="693" t="str">
        <f t="shared" si="45"/>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F27" s="691">
        <f t="shared" si="41"/>
        <v>58368690</v>
      </c>
      <c r="AG27" s="695">
        <v>0</v>
      </c>
      <c r="AH27" s="691">
        <v>0</v>
      </c>
      <c r="AI27" s="690" t="e">
        <f>+(AG27/AD27)</f>
        <v>#DIV/0!</v>
      </c>
      <c r="AJ27" s="690">
        <f>+(AH27/AF27)</f>
        <v>0</v>
      </c>
      <c r="AK27" s="690">
        <f>+(AG27/Z27)</f>
        <v>0</v>
      </c>
      <c r="AL27" s="690">
        <f>+(AH27/AB27)</f>
        <v>0</v>
      </c>
      <c r="AM27" s="484" t="s">
        <v>1374</v>
      </c>
      <c r="AN27" s="66">
        <v>0</v>
      </c>
      <c r="AO27" s="693" t="str">
        <f t="shared" si="50"/>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P27" s="691">
        <f t="shared" si="42"/>
        <v>58368690</v>
      </c>
      <c r="AQ27" s="716">
        <v>0</v>
      </c>
      <c r="AR27" s="511">
        <v>39698687</v>
      </c>
      <c r="AS27" s="690" t="e">
        <f t="shared" si="51"/>
        <v>#DIV/0!</v>
      </c>
      <c r="AT27" s="690">
        <f t="shared" si="52"/>
        <v>0.68013667944235168</v>
      </c>
      <c r="AU27" s="690">
        <f t="shared" si="53"/>
        <v>0</v>
      </c>
      <c r="AV27" s="690">
        <f t="shared" si="54"/>
        <v>0.17003416986058792</v>
      </c>
      <c r="AW27" s="516" t="s">
        <v>1697</v>
      </c>
      <c r="AX27" s="66">
        <v>0</v>
      </c>
      <c r="AY27" s="693" t="str">
        <f t="shared" si="55"/>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Z27" s="691">
        <f t="shared" si="43"/>
        <v>58368690</v>
      </c>
      <c r="BA27" s="134"/>
      <c r="BB27" s="134"/>
      <c r="BC27" s="690" t="e">
        <f t="shared" si="56"/>
        <v>#DIV/0!</v>
      </c>
      <c r="BD27" s="690">
        <f t="shared" si="57"/>
        <v>0</v>
      </c>
      <c r="BE27" s="690">
        <f t="shared" si="58"/>
        <v>0</v>
      </c>
      <c r="BF27" s="690">
        <f t="shared" si="59"/>
        <v>0.17003416986058792</v>
      </c>
      <c r="BG27" s="690"/>
      <c r="BH27" s="66">
        <v>4</v>
      </c>
      <c r="BI27" s="693" t="str">
        <f t="shared" si="60"/>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BJ27" s="691">
        <f t="shared" si="44"/>
        <v>58368690</v>
      </c>
      <c r="BK27" s="134"/>
      <c r="BL27" s="134"/>
      <c r="BM27" s="698">
        <f t="shared" si="61"/>
        <v>0</v>
      </c>
      <c r="BN27" s="698">
        <f t="shared" si="62"/>
        <v>0</v>
      </c>
      <c r="BO27" s="698">
        <f t="shared" si="63"/>
        <v>0</v>
      </c>
      <c r="BP27" s="698">
        <f t="shared" si="64"/>
        <v>0.17003416986058792</v>
      </c>
      <c r="BQ27" s="698"/>
      <c r="BR27" s="697" t="str">
        <f t="shared" si="65"/>
        <v>No Prog ni Ejec</v>
      </c>
      <c r="BS27" s="697">
        <f t="shared" si="66"/>
        <v>0</v>
      </c>
      <c r="BT27" s="697" t="str">
        <f t="shared" si="67"/>
        <v>No Prog ni Ejec</v>
      </c>
      <c r="BU27" s="697">
        <f t="shared" si="68"/>
        <v>0.68013667944235168</v>
      </c>
      <c r="BV27" s="697" t="str">
        <f t="shared" si="69"/>
        <v>No Prog ni Ejec</v>
      </c>
      <c r="BW27" s="697">
        <f t="shared" si="70"/>
        <v>0</v>
      </c>
      <c r="BX27" s="697">
        <f t="shared" si="71"/>
        <v>0</v>
      </c>
      <c r="BY27" s="786">
        <f t="shared" si="72"/>
        <v>0</v>
      </c>
      <c r="BZ27" s="157">
        <f t="shared" si="0"/>
        <v>0</v>
      </c>
    </row>
    <row r="28" spans="1:78" s="70" customFormat="1" ht="267.75" x14ac:dyDescent="0.2">
      <c r="A28" s="785">
        <v>11400</v>
      </c>
      <c r="B28" s="693" t="s">
        <v>12</v>
      </c>
      <c r="C28" s="693" t="s">
        <v>330</v>
      </c>
      <c r="D28" s="129" t="s">
        <v>1023</v>
      </c>
      <c r="E28" s="129" t="s">
        <v>1023</v>
      </c>
      <c r="F28" s="695" t="s">
        <v>65</v>
      </c>
      <c r="G28" s="693" t="s">
        <v>344</v>
      </c>
      <c r="H28" s="695" t="s">
        <v>66</v>
      </c>
      <c r="I28" s="693" t="s">
        <v>340</v>
      </c>
      <c r="J28" s="695" t="s">
        <v>969</v>
      </c>
      <c r="K28" s="693" t="s">
        <v>402</v>
      </c>
      <c r="L28" s="716" t="s">
        <v>51</v>
      </c>
      <c r="M28" s="698">
        <v>1</v>
      </c>
      <c r="N28" s="695" t="s">
        <v>977</v>
      </c>
      <c r="O28" s="693" t="s">
        <v>359</v>
      </c>
      <c r="P28" s="701">
        <v>80376316.800000012</v>
      </c>
      <c r="Q28" s="706">
        <v>1</v>
      </c>
      <c r="R28" s="693" t="s">
        <v>17</v>
      </c>
      <c r="S28" s="693" t="s">
        <v>295</v>
      </c>
      <c r="T28" s="693" t="s">
        <v>634</v>
      </c>
      <c r="U28" s="693" t="s">
        <v>637</v>
      </c>
      <c r="V28" s="693" t="s">
        <v>75</v>
      </c>
      <c r="W28" s="693" t="s">
        <v>1267</v>
      </c>
      <c r="X28" s="693" t="s">
        <v>421</v>
      </c>
      <c r="Y28" s="693" t="s">
        <v>204</v>
      </c>
      <c r="Z28" s="706">
        <v>1</v>
      </c>
      <c r="AA28" s="693" t="str">
        <f t="shared" si="40"/>
        <v xml:space="preserve">Verificar los actuales controles de los procesos de liquidación y reconocimiento de UPC y de prestaciones económicas, considerando las características de los afiliados (edad, género, ubicación geográfica, capacidad de pago, novedades). </v>
      </c>
      <c r="AB28" s="703">
        <f t="shared" si="40"/>
        <v>80376316.800000012</v>
      </c>
      <c r="AC28" s="716" t="s">
        <v>46</v>
      </c>
      <c r="AD28" s="698">
        <v>0.25</v>
      </c>
      <c r="AE28" s="693" t="str">
        <f t="shared" si="45"/>
        <v xml:space="preserve">Verificar los actuales controles de los procesos de liquidación y reconocimiento de UPC y de prestaciones económicas, considerando las características de los afiliados (edad, género, ubicación geográfica, capacidad de pago, novedades). </v>
      </c>
      <c r="AF28" s="691">
        <f t="shared" si="41"/>
        <v>20094079.200000003</v>
      </c>
      <c r="AG28" s="706">
        <f>(1/1)*25%</f>
        <v>0.25</v>
      </c>
      <c r="AH28" s="511">
        <v>10787362</v>
      </c>
      <c r="AI28" s="690">
        <f t="shared" si="46"/>
        <v>1</v>
      </c>
      <c r="AJ28" s="690">
        <f t="shared" si="47"/>
        <v>0.53684281288191593</v>
      </c>
      <c r="AK28" s="690">
        <f t="shared" si="48"/>
        <v>0.25</v>
      </c>
      <c r="AL28" s="690">
        <f t="shared" si="49"/>
        <v>0.13421070322047898</v>
      </c>
      <c r="AM28" s="484" t="s">
        <v>1375</v>
      </c>
      <c r="AN28" s="698">
        <v>0.25</v>
      </c>
      <c r="AO28" s="693" t="str">
        <f t="shared" si="50"/>
        <v xml:space="preserve">Verificar los actuales controles de los procesos de liquidación y reconocimiento de UPC y de prestaciones económicas, considerando las características de los afiliados (edad, género, ubicación geográfica, capacidad de pago, novedades). </v>
      </c>
      <c r="AP28" s="691">
        <f t="shared" si="42"/>
        <v>20094079.200000003</v>
      </c>
      <c r="AQ28" s="519">
        <v>0.25</v>
      </c>
      <c r="AR28" s="511">
        <v>15410517</v>
      </c>
      <c r="AS28" s="690">
        <f t="shared" si="51"/>
        <v>1</v>
      </c>
      <c r="AT28" s="690">
        <f t="shared" si="52"/>
        <v>0.76691829700760794</v>
      </c>
      <c r="AU28" s="690">
        <f t="shared" si="53"/>
        <v>0.5</v>
      </c>
      <c r="AV28" s="690">
        <f t="shared" si="54"/>
        <v>0.32594027747238097</v>
      </c>
      <c r="AW28" s="516" t="s">
        <v>1698</v>
      </c>
      <c r="AX28" s="698">
        <v>0.25</v>
      </c>
      <c r="AY28" s="693" t="str">
        <f t="shared" si="55"/>
        <v xml:space="preserve">Verificar los actuales controles de los procesos de liquidación y reconocimiento de UPC y de prestaciones económicas, considerando las características de los afiliados (edad, género, ubicación geográfica, capacidad de pago, novedades). </v>
      </c>
      <c r="AZ28" s="691">
        <f t="shared" si="43"/>
        <v>20094079.200000003</v>
      </c>
      <c r="BA28" s="134"/>
      <c r="BB28" s="134"/>
      <c r="BC28" s="690">
        <f t="shared" si="56"/>
        <v>0</v>
      </c>
      <c r="BD28" s="690">
        <f t="shared" si="57"/>
        <v>0</v>
      </c>
      <c r="BE28" s="690">
        <f t="shared" si="58"/>
        <v>0.5</v>
      </c>
      <c r="BF28" s="690">
        <f t="shared" si="59"/>
        <v>0.32594027747238097</v>
      </c>
      <c r="BG28" s="690"/>
      <c r="BH28" s="698">
        <v>0.25</v>
      </c>
      <c r="BI28" s="693" t="str">
        <f t="shared" si="60"/>
        <v xml:space="preserve">Verificar los actuales controles de los procesos de liquidación y reconocimiento de UPC y de prestaciones económicas, considerando las características de los afiliados (edad, género, ubicación geográfica, capacidad de pago, novedades). </v>
      </c>
      <c r="BJ28" s="691">
        <f t="shared" si="44"/>
        <v>20094079.200000003</v>
      </c>
      <c r="BK28" s="134"/>
      <c r="BL28" s="134"/>
      <c r="BM28" s="698">
        <f t="shared" si="61"/>
        <v>0</v>
      </c>
      <c r="BN28" s="698">
        <f t="shared" si="62"/>
        <v>0</v>
      </c>
      <c r="BO28" s="698">
        <f t="shared" si="63"/>
        <v>0.5</v>
      </c>
      <c r="BP28" s="698">
        <f t="shared" si="64"/>
        <v>0.32594027747238097</v>
      </c>
      <c r="BQ28" s="698"/>
      <c r="BR28" s="697">
        <f t="shared" si="65"/>
        <v>1</v>
      </c>
      <c r="BS28" s="697">
        <f t="shared" si="66"/>
        <v>0.53684281288191593</v>
      </c>
      <c r="BT28" s="697">
        <f t="shared" si="67"/>
        <v>1</v>
      </c>
      <c r="BU28" s="697">
        <f t="shared" si="68"/>
        <v>0.76691829700760794</v>
      </c>
      <c r="BV28" s="697">
        <f t="shared" si="69"/>
        <v>0</v>
      </c>
      <c r="BW28" s="697">
        <f t="shared" si="70"/>
        <v>0</v>
      </c>
      <c r="BX28" s="697">
        <f t="shared" si="71"/>
        <v>0</v>
      </c>
      <c r="BY28" s="786">
        <f t="shared" si="72"/>
        <v>0</v>
      </c>
      <c r="BZ28" s="157">
        <f t="shared" si="0"/>
        <v>0</v>
      </c>
    </row>
    <row r="29" spans="1:78" s="70" customFormat="1" ht="127.5" x14ac:dyDescent="0.2">
      <c r="A29" s="785">
        <v>11400</v>
      </c>
      <c r="B29" s="693" t="s">
        <v>12</v>
      </c>
      <c r="C29" s="693" t="s">
        <v>330</v>
      </c>
      <c r="D29" s="129" t="s">
        <v>1023</v>
      </c>
      <c r="E29" s="129" t="s">
        <v>1023</v>
      </c>
      <c r="F29" s="695" t="s">
        <v>65</v>
      </c>
      <c r="G29" s="693" t="s">
        <v>344</v>
      </c>
      <c r="H29" s="695" t="s">
        <v>66</v>
      </c>
      <c r="I29" s="693" t="s">
        <v>340</v>
      </c>
      <c r="J29" s="695" t="s">
        <v>970</v>
      </c>
      <c r="K29" s="693" t="s">
        <v>388</v>
      </c>
      <c r="L29" s="716" t="s">
        <v>51</v>
      </c>
      <c r="M29" s="698">
        <v>1</v>
      </c>
      <c r="N29" s="695" t="s">
        <v>978</v>
      </c>
      <c r="O29" s="693" t="s">
        <v>360</v>
      </c>
      <c r="P29" s="701">
        <v>172244136</v>
      </c>
      <c r="Q29" s="706">
        <v>1</v>
      </c>
      <c r="R29" s="693" t="s">
        <v>17</v>
      </c>
      <c r="S29" s="693" t="s">
        <v>295</v>
      </c>
      <c r="T29" s="693" t="s">
        <v>634</v>
      </c>
      <c r="U29" s="693" t="s">
        <v>637</v>
      </c>
      <c r="V29" s="693" t="s">
        <v>75</v>
      </c>
      <c r="W29" s="693" t="s">
        <v>1268</v>
      </c>
      <c r="X29" s="693" t="s">
        <v>422</v>
      </c>
      <c r="Y29" s="693" t="s">
        <v>204</v>
      </c>
      <c r="Z29" s="706">
        <v>1</v>
      </c>
      <c r="AA29" s="693" t="str">
        <f t="shared" si="40"/>
        <v>Ejecutar los procesos de compensación conforme al cronograma adoptado</v>
      </c>
      <c r="AB29" s="703">
        <f t="shared" si="40"/>
        <v>172244136</v>
      </c>
      <c r="AC29" s="700" t="s">
        <v>46</v>
      </c>
      <c r="AD29" s="698">
        <v>0.25</v>
      </c>
      <c r="AE29" s="693" t="str">
        <f t="shared" si="45"/>
        <v>Ejecutar los procesos de compensación conforme al cronograma adoptado</v>
      </c>
      <c r="AF29" s="691">
        <f t="shared" si="41"/>
        <v>43061034</v>
      </c>
      <c r="AG29" s="706">
        <f>(12/12)*25%</f>
        <v>0.25</v>
      </c>
      <c r="AH29" s="511">
        <v>20448274</v>
      </c>
      <c r="AI29" s="690">
        <f t="shared" si="46"/>
        <v>1</v>
      </c>
      <c r="AJ29" s="690">
        <f t="shared" si="47"/>
        <v>0.47486723147428367</v>
      </c>
      <c r="AK29" s="690">
        <f t="shared" si="48"/>
        <v>0.25</v>
      </c>
      <c r="AL29" s="690">
        <f t="shared" si="49"/>
        <v>0.11871680786857092</v>
      </c>
      <c r="AM29" s="484" t="s">
        <v>1376</v>
      </c>
      <c r="AN29" s="698">
        <v>0.25</v>
      </c>
      <c r="AO29" s="693" t="str">
        <f t="shared" si="50"/>
        <v>Ejecutar los procesos de compensación conforme al cronograma adoptado</v>
      </c>
      <c r="AP29" s="691">
        <f t="shared" si="42"/>
        <v>43061034</v>
      </c>
      <c r="AQ29" s="514">
        <v>0.25</v>
      </c>
      <c r="AR29" s="683">
        <v>27650517</v>
      </c>
      <c r="AS29" s="690">
        <f t="shared" si="51"/>
        <v>1</v>
      </c>
      <c r="AT29" s="690">
        <f t="shared" si="52"/>
        <v>0.64212385146162543</v>
      </c>
      <c r="AU29" s="690">
        <f t="shared" si="53"/>
        <v>0.5</v>
      </c>
      <c r="AV29" s="690">
        <f t="shared" si="54"/>
        <v>0.27924777073397727</v>
      </c>
      <c r="AW29" s="516" t="s">
        <v>1762</v>
      </c>
      <c r="AX29" s="698">
        <v>0.25</v>
      </c>
      <c r="AY29" s="693" t="str">
        <f t="shared" si="55"/>
        <v>Ejecutar los procesos de compensación conforme al cronograma adoptado</v>
      </c>
      <c r="AZ29" s="691">
        <f t="shared" si="43"/>
        <v>43061034</v>
      </c>
      <c r="BA29" s="134"/>
      <c r="BB29" s="134"/>
      <c r="BC29" s="690">
        <f t="shared" si="56"/>
        <v>0</v>
      </c>
      <c r="BD29" s="690">
        <f t="shared" si="57"/>
        <v>0</v>
      </c>
      <c r="BE29" s="690">
        <f t="shared" si="58"/>
        <v>0.5</v>
      </c>
      <c r="BF29" s="690">
        <f t="shared" si="59"/>
        <v>0.27924777073397727</v>
      </c>
      <c r="BG29" s="690"/>
      <c r="BH29" s="698">
        <v>0.25</v>
      </c>
      <c r="BI29" s="693" t="str">
        <f t="shared" si="60"/>
        <v>Ejecutar los procesos de compensación conforme al cronograma adoptado</v>
      </c>
      <c r="BJ29" s="691">
        <f t="shared" si="44"/>
        <v>43061034</v>
      </c>
      <c r="BK29" s="134"/>
      <c r="BL29" s="134"/>
      <c r="BM29" s="698">
        <f t="shared" si="61"/>
        <v>0</v>
      </c>
      <c r="BN29" s="698">
        <f t="shared" si="62"/>
        <v>0</v>
      </c>
      <c r="BO29" s="698">
        <f t="shared" si="63"/>
        <v>0.5</v>
      </c>
      <c r="BP29" s="698">
        <f t="shared" si="64"/>
        <v>0.27924777073397727</v>
      </c>
      <c r="BQ29" s="698"/>
      <c r="BR29" s="697">
        <f t="shared" si="65"/>
        <v>1</v>
      </c>
      <c r="BS29" s="697">
        <f t="shared" si="66"/>
        <v>0.47486723147428367</v>
      </c>
      <c r="BT29" s="697">
        <f t="shared" si="67"/>
        <v>1</v>
      </c>
      <c r="BU29" s="697">
        <f t="shared" si="68"/>
        <v>0.64212385146162543</v>
      </c>
      <c r="BV29" s="697">
        <f t="shared" si="69"/>
        <v>0</v>
      </c>
      <c r="BW29" s="697">
        <f t="shared" si="70"/>
        <v>0</v>
      </c>
      <c r="BX29" s="697">
        <f t="shared" si="71"/>
        <v>0</v>
      </c>
      <c r="BY29" s="786">
        <f t="shared" si="72"/>
        <v>0</v>
      </c>
      <c r="BZ29" s="157">
        <f t="shared" si="0"/>
        <v>0</v>
      </c>
    </row>
    <row r="30" spans="1:78" s="70" customFormat="1" ht="140.25" x14ac:dyDescent="0.2">
      <c r="A30" s="785">
        <v>11400</v>
      </c>
      <c r="B30" s="693" t="s">
        <v>12</v>
      </c>
      <c r="C30" s="693" t="s">
        <v>330</v>
      </c>
      <c r="D30" s="129" t="s">
        <v>1023</v>
      </c>
      <c r="E30" s="129" t="s">
        <v>1023</v>
      </c>
      <c r="F30" s="695" t="s">
        <v>65</v>
      </c>
      <c r="G30" s="693" t="s">
        <v>344</v>
      </c>
      <c r="H30" s="695" t="s">
        <v>66</v>
      </c>
      <c r="I30" s="693" t="s">
        <v>340</v>
      </c>
      <c r="J30" s="695" t="s">
        <v>971</v>
      </c>
      <c r="K30" s="693" t="s">
        <v>70</v>
      </c>
      <c r="L30" s="716" t="s">
        <v>51</v>
      </c>
      <c r="M30" s="698">
        <v>1</v>
      </c>
      <c r="N30" s="695" t="s">
        <v>979</v>
      </c>
      <c r="O30" s="693" t="s">
        <v>361</v>
      </c>
      <c r="P30" s="701">
        <f>123284136/2</f>
        <v>61642068</v>
      </c>
      <c r="Q30" s="706">
        <v>1</v>
      </c>
      <c r="R30" s="693" t="s">
        <v>17</v>
      </c>
      <c r="S30" s="693" t="s">
        <v>295</v>
      </c>
      <c r="T30" s="693" t="s">
        <v>634</v>
      </c>
      <c r="U30" s="693" t="s">
        <v>637</v>
      </c>
      <c r="V30" s="693" t="s">
        <v>1053</v>
      </c>
      <c r="W30" s="693" t="s">
        <v>1266</v>
      </c>
      <c r="X30" s="693" t="s">
        <v>423</v>
      </c>
      <c r="Y30" s="693" t="s">
        <v>204</v>
      </c>
      <c r="Z30" s="706">
        <v>1</v>
      </c>
      <c r="AA30" s="693" t="str">
        <f t="shared" si="40"/>
        <v xml:space="preserve">Tramitar oportunamente las solicitudes de prestaciones económicas radicadas por afiliados a los regímenes exceptuados y especiales con ingresos adicionales. </v>
      </c>
      <c r="AB30" s="703">
        <f t="shared" si="40"/>
        <v>61642068</v>
      </c>
      <c r="AC30" s="700" t="s">
        <v>46</v>
      </c>
      <c r="AD30" s="698">
        <v>0.25</v>
      </c>
      <c r="AE30" s="693" t="str">
        <f t="shared" si="45"/>
        <v xml:space="preserve">Tramitar oportunamente las solicitudes de prestaciones económicas radicadas por afiliados a los regímenes exceptuados y especiales con ingresos adicionales. </v>
      </c>
      <c r="AF30" s="691">
        <f t="shared" si="41"/>
        <v>15410517</v>
      </c>
      <c r="AG30" s="706">
        <f>(720/723)*25%</f>
        <v>0.24896265560165975</v>
      </c>
      <c r="AH30" s="511">
        <v>10444906</v>
      </c>
      <c r="AI30" s="690">
        <f>+(AG30/AD30)</f>
        <v>0.99585062240663902</v>
      </c>
      <c r="AJ30" s="690">
        <f t="shared" si="47"/>
        <v>0.67777777994080279</v>
      </c>
      <c r="AK30" s="690">
        <f t="shared" si="48"/>
        <v>0.24896265560165975</v>
      </c>
      <c r="AL30" s="690">
        <f t="shared" si="49"/>
        <v>0.1694444449852007</v>
      </c>
      <c r="AM30" s="484" t="s">
        <v>1377</v>
      </c>
      <c r="AN30" s="698">
        <v>0.25</v>
      </c>
      <c r="AO30" s="693" t="str">
        <f t="shared" si="50"/>
        <v xml:space="preserve">Tramitar oportunamente las solicitudes de prestaciones económicas radicadas por afiliados a los regímenes exceptuados y especiales con ingresos adicionales. </v>
      </c>
      <c r="AP30" s="691">
        <f t="shared" si="42"/>
        <v>15410517</v>
      </c>
      <c r="AQ30" s="679">
        <f>(841/848)*25%</f>
        <v>0.24793632075471697</v>
      </c>
      <c r="AR30" s="511">
        <v>15410517</v>
      </c>
      <c r="AS30" s="690">
        <f t="shared" si="51"/>
        <v>0.99174528301886788</v>
      </c>
      <c r="AT30" s="690">
        <f t="shared" si="52"/>
        <v>1</v>
      </c>
      <c r="AU30" s="690">
        <f t="shared" si="53"/>
        <v>0.4968989763563767</v>
      </c>
      <c r="AV30" s="690">
        <f t="shared" si="54"/>
        <v>0.41944444498520067</v>
      </c>
      <c r="AW30" s="516" t="s">
        <v>1699</v>
      </c>
      <c r="AX30" s="698">
        <v>0.25</v>
      </c>
      <c r="AY30" s="693" t="str">
        <f t="shared" si="55"/>
        <v xml:space="preserve">Tramitar oportunamente las solicitudes de prestaciones económicas radicadas por afiliados a los regímenes exceptuados y especiales con ingresos adicionales. </v>
      </c>
      <c r="AZ30" s="691">
        <f t="shared" si="43"/>
        <v>15410517</v>
      </c>
      <c r="BA30" s="134"/>
      <c r="BB30" s="134"/>
      <c r="BC30" s="690">
        <f t="shared" si="56"/>
        <v>0</v>
      </c>
      <c r="BD30" s="690">
        <f t="shared" si="57"/>
        <v>0</v>
      </c>
      <c r="BE30" s="690">
        <f t="shared" si="58"/>
        <v>0.4968989763563767</v>
      </c>
      <c r="BF30" s="690">
        <f t="shared" si="59"/>
        <v>0.41944444498520067</v>
      </c>
      <c r="BG30" s="690"/>
      <c r="BH30" s="698">
        <v>0.25</v>
      </c>
      <c r="BI30" s="693" t="str">
        <f t="shared" si="60"/>
        <v xml:space="preserve">Tramitar oportunamente las solicitudes de prestaciones económicas radicadas por afiliados a los regímenes exceptuados y especiales con ingresos adicionales. </v>
      </c>
      <c r="BJ30" s="691">
        <f t="shared" si="44"/>
        <v>15410517</v>
      </c>
      <c r="BK30" s="134"/>
      <c r="BL30" s="134"/>
      <c r="BM30" s="698">
        <f t="shared" si="61"/>
        <v>0</v>
      </c>
      <c r="BN30" s="698">
        <f t="shared" si="62"/>
        <v>0</v>
      </c>
      <c r="BO30" s="698">
        <f t="shared" si="63"/>
        <v>0.4968989763563767</v>
      </c>
      <c r="BP30" s="698">
        <f t="shared" si="64"/>
        <v>0.41944444498520067</v>
      </c>
      <c r="BQ30" s="698"/>
      <c r="BR30" s="697">
        <f t="shared" si="65"/>
        <v>0.99585062240663902</v>
      </c>
      <c r="BS30" s="697">
        <f t="shared" si="66"/>
        <v>0.67777777994080279</v>
      </c>
      <c r="BT30" s="697">
        <f t="shared" si="67"/>
        <v>0.99174528301886788</v>
      </c>
      <c r="BU30" s="697">
        <f t="shared" si="68"/>
        <v>1</v>
      </c>
      <c r="BV30" s="697">
        <f t="shared" si="69"/>
        <v>0</v>
      </c>
      <c r="BW30" s="697">
        <f t="shared" si="70"/>
        <v>0</v>
      </c>
      <c r="BX30" s="697">
        <f t="shared" si="71"/>
        <v>0</v>
      </c>
      <c r="BY30" s="786">
        <f t="shared" si="72"/>
        <v>0</v>
      </c>
      <c r="BZ30" s="157">
        <f t="shared" si="0"/>
        <v>0</v>
      </c>
    </row>
    <row r="31" spans="1:78" s="70" customFormat="1" ht="94.5" customHeight="1" x14ac:dyDescent="0.2">
      <c r="A31" s="785">
        <v>11400</v>
      </c>
      <c r="B31" s="693" t="s">
        <v>12</v>
      </c>
      <c r="C31" s="693" t="s">
        <v>330</v>
      </c>
      <c r="D31" s="129" t="s">
        <v>1023</v>
      </c>
      <c r="E31" s="129"/>
      <c r="F31" s="695" t="s">
        <v>65</v>
      </c>
      <c r="G31" s="693" t="s">
        <v>344</v>
      </c>
      <c r="H31" s="695" t="s">
        <v>66</v>
      </c>
      <c r="I31" s="693" t="s">
        <v>340</v>
      </c>
      <c r="J31" s="695" t="s">
        <v>972</v>
      </c>
      <c r="K31" s="693" t="s">
        <v>398</v>
      </c>
      <c r="L31" s="716" t="s">
        <v>51</v>
      </c>
      <c r="M31" s="698">
        <v>1</v>
      </c>
      <c r="N31" s="695" t="s">
        <v>980</v>
      </c>
      <c r="O31" s="693" t="s">
        <v>362</v>
      </c>
      <c r="P31" s="701">
        <f>123284136/2</f>
        <v>61642068</v>
      </c>
      <c r="Q31" s="706">
        <v>1</v>
      </c>
      <c r="R31" s="693" t="s">
        <v>17</v>
      </c>
      <c r="S31" s="693" t="s">
        <v>295</v>
      </c>
      <c r="T31" s="693" t="s">
        <v>634</v>
      </c>
      <c r="U31" s="693" t="s">
        <v>637</v>
      </c>
      <c r="V31" s="693" t="s">
        <v>1053</v>
      </c>
      <c r="W31" s="693" t="s">
        <v>1266</v>
      </c>
      <c r="X31" s="693" t="s">
        <v>399</v>
      </c>
      <c r="Y31" s="693" t="s">
        <v>204</v>
      </c>
      <c r="Z31" s="706">
        <v>1</v>
      </c>
      <c r="AA31" s="693" t="str">
        <f t="shared" ref="AA31:AA38" si="73">+O31</f>
        <v xml:space="preserve">Tramitar oportunamente las solicitudes de devoluciones de aportes radicadas por afiliados a los regímenes exceptuados y especiales con ingresos adicionales. </v>
      </c>
      <c r="AB31" s="703">
        <f>+P31</f>
        <v>61642068</v>
      </c>
      <c r="AC31" s="700" t="s">
        <v>48</v>
      </c>
      <c r="AD31" s="698">
        <v>0.25</v>
      </c>
      <c r="AE31" s="693" t="str">
        <f t="shared" si="45"/>
        <v xml:space="preserve">Tramitar oportunamente las solicitudes de devoluciones de aportes radicadas por afiliados a los regímenes exceptuados y especiales con ingresos adicionales. </v>
      </c>
      <c r="AF31" s="691">
        <f t="shared" si="41"/>
        <v>15410517</v>
      </c>
      <c r="AG31" s="706">
        <f>(181/183)*25%</f>
        <v>0.24726775956284153</v>
      </c>
      <c r="AH31" s="511">
        <v>10444906</v>
      </c>
      <c r="AI31" s="690">
        <f t="shared" si="46"/>
        <v>0.98907103825136611</v>
      </c>
      <c r="AJ31" s="690">
        <f t="shared" si="47"/>
        <v>0.67777777994080279</v>
      </c>
      <c r="AK31" s="690">
        <f t="shared" si="48"/>
        <v>0.24726775956284153</v>
      </c>
      <c r="AL31" s="690">
        <f t="shared" si="49"/>
        <v>0.1694444449852007</v>
      </c>
      <c r="AM31" s="484" t="s">
        <v>1378</v>
      </c>
      <c r="AN31" s="698">
        <v>0.25</v>
      </c>
      <c r="AO31" s="693" t="str">
        <f t="shared" si="50"/>
        <v xml:space="preserve">Tramitar oportunamente las solicitudes de devoluciones de aportes radicadas por afiliados a los regímenes exceptuados y especiales con ingresos adicionales. </v>
      </c>
      <c r="AP31" s="691">
        <f t="shared" si="42"/>
        <v>15410517</v>
      </c>
      <c r="AQ31" s="679">
        <f>(183/183)*25%</f>
        <v>0.25</v>
      </c>
      <c r="AR31" s="511">
        <v>15410517</v>
      </c>
      <c r="AS31" s="690">
        <f t="shared" si="51"/>
        <v>1</v>
      </c>
      <c r="AT31" s="690">
        <f t="shared" si="52"/>
        <v>1</v>
      </c>
      <c r="AU31" s="690">
        <f t="shared" si="53"/>
        <v>0.49726775956284153</v>
      </c>
      <c r="AV31" s="690">
        <f t="shared" si="54"/>
        <v>0.41944444498520067</v>
      </c>
      <c r="AW31" s="516" t="s">
        <v>1700</v>
      </c>
      <c r="AX31" s="698">
        <v>0.25</v>
      </c>
      <c r="AY31" s="693" t="str">
        <f t="shared" si="55"/>
        <v xml:space="preserve">Tramitar oportunamente las solicitudes de devoluciones de aportes radicadas por afiliados a los regímenes exceptuados y especiales con ingresos adicionales. </v>
      </c>
      <c r="AZ31" s="691">
        <f t="shared" si="43"/>
        <v>15410517</v>
      </c>
      <c r="BA31" s="134"/>
      <c r="BB31" s="134"/>
      <c r="BC31" s="690">
        <f t="shared" si="56"/>
        <v>0</v>
      </c>
      <c r="BD31" s="690">
        <f t="shared" si="57"/>
        <v>0</v>
      </c>
      <c r="BE31" s="690">
        <f t="shared" si="58"/>
        <v>0.49726775956284153</v>
      </c>
      <c r="BF31" s="690">
        <f t="shared" si="59"/>
        <v>0.41944444498520067</v>
      </c>
      <c r="BG31" s="690"/>
      <c r="BH31" s="698">
        <v>0.25</v>
      </c>
      <c r="BI31" s="693" t="str">
        <f t="shared" si="60"/>
        <v xml:space="preserve">Tramitar oportunamente las solicitudes de devoluciones de aportes radicadas por afiliados a los regímenes exceptuados y especiales con ingresos adicionales. </v>
      </c>
      <c r="BJ31" s="691">
        <f t="shared" si="44"/>
        <v>15410517</v>
      </c>
      <c r="BK31" s="134"/>
      <c r="BL31" s="134"/>
      <c r="BM31" s="698">
        <f t="shared" si="61"/>
        <v>0</v>
      </c>
      <c r="BN31" s="698">
        <f t="shared" si="62"/>
        <v>0</v>
      </c>
      <c r="BO31" s="698">
        <f t="shared" si="63"/>
        <v>0.49726775956284153</v>
      </c>
      <c r="BP31" s="698">
        <f t="shared" si="64"/>
        <v>0.41944444498520067</v>
      </c>
      <c r="BQ31" s="698"/>
      <c r="BR31" s="697">
        <f t="shared" si="65"/>
        <v>0.98907103825136611</v>
      </c>
      <c r="BS31" s="697">
        <f t="shared" si="66"/>
        <v>0.67777777994080279</v>
      </c>
      <c r="BT31" s="697">
        <f t="shared" si="67"/>
        <v>1</v>
      </c>
      <c r="BU31" s="697">
        <f t="shared" si="68"/>
        <v>1</v>
      </c>
      <c r="BV31" s="697">
        <f t="shared" si="69"/>
        <v>0</v>
      </c>
      <c r="BW31" s="697">
        <f t="shared" si="70"/>
        <v>0</v>
      </c>
      <c r="BX31" s="697">
        <f t="shared" si="71"/>
        <v>0</v>
      </c>
      <c r="BY31" s="786">
        <f t="shared" si="72"/>
        <v>0</v>
      </c>
      <c r="BZ31" s="157">
        <f t="shared" si="0"/>
        <v>0</v>
      </c>
    </row>
    <row r="32" spans="1:78" s="70" customFormat="1" ht="102" x14ac:dyDescent="0.2">
      <c r="A32" s="785">
        <v>11400</v>
      </c>
      <c r="B32" s="693" t="s">
        <v>12</v>
      </c>
      <c r="C32" s="693" t="s">
        <v>330</v>
      </c>
      <c r="D32" s="129" t="s">
        <v>1023</v>
      </c>
      <c r="E32" s="129"/>
      <c r="F32" s="695" t="s">
        <v>65</v>
      </c>
      <c r="G32" s="693" t="s">
        <v>344</v>
      </c>
      <c r="H32" s="695" t="s">
        <v>66</v>
      </c>
      <c r="I32" s="693" t="s">
        <v>340</v>
      </c>
      <c r="J32" s="695" t="s">
        <v>973</v>
      </c>
      <c r="K32" s="693" t="s">
        <v>390</v>
      </c>
      <c r="L32" s="716" t="s">
        <v>391</v>
      </c>
      <c r="M32" s="66">
        <v>12</v>
      </c>
      <c r="N32" s="695" t="s">
        <v>981</v>
      </c>
      <c r="O32" s="693" t="s">
        <v>389</v>
      </c>
      <c r="P32" s="691">
        <v>0</v>
      </c>
      <c r="Q32" s="706">
        <v>1</v>
      </c>
      <c r="R32" s="693" t="s">
        <v>17</v>
      </c>
      <c r="S32" s="693" t="s">
        <v>295</v>
      </c>
      <c r="T32" s="693" t="s">
        <v>634</v>
      </c>
      <c r="U32" s="693" t="s">
        <v>637</v>
      </c>
      <c r="V32" s="693" t="s">
        <v>79</v>
      </c>
      <c r="W32" s="693" t="s">
        <v>1280</v>
      </c>
      <c r="X32" s="693" t="s">
        <v>394</v>
      </c>
      <c r="Y32" s="693" t="s">
        <v>204</v>
      </c>
      <c r="Z32" s="66">
        <v>12</v>
      </c>
      <c r="AA32" s="71" t="str">
        <f t="shared" si="73"/>
        <v>Ejecutar los procesos de liquidación y reconocimiento de la UPC de los afiliados al régimen subsidiado.</v>
      </c>
      <c r="AB32" s="72">
        <f t="shared" ref="AB32:AB38" si="74">+P32</f>
        <v>0</v>
      </c>
      <c r="AC32" s="700" t="s">
        <v>48</v>
      </c>
      <c r="AD32" s="66">
        <v>3</v>
      </c>
      <c r="AE32" s="693" t="str">
        <f t="shared" si="45"/>
        <v>Ejecutar los procesos de liquidación y reconocimiento de la UPC de los afiliados al régimen subsidiado.</v>
      </c>
      <c r="AF32" s="691">
        <v>0</v>
      </c>
      <c r="AG32" s="695">
        <v>3</v>
      </c>
      <c r="AH32" s="691">
        <v>0</v>
      </c>
      <c r="AI32" s="690">
        <f t="shared" si="46"/>
        <v>1</v>
      </c>
      <c r="AJ32" s="690" t="e">
        <f t="shared" si="47"/>
        <v>#DIV/0!</v>
      </c>
      <c r="AK32" s="690">
        <f t="shared" si="48"/>
        <v>0.25</v>
      </c>
      <c r="AL32" s="690" t="e">
        <f t="shared" si="49"/>
        <v>#DIV/0!</v>
      </c>
      <c r="AM32" s="512" t="s">
        <v>1612</v>
      </c>
      <c r="AN32" s="66">
        <v>3</v>
      </c>
      <c r="AO32" s="693" t="str">
        <f t="shared" si="50"/>
        <v>Ejecutar los procesos de liquidación y reconocimiento de la UPC de los afiliados al régimen subsidiado.</v>
      </c>
      <c r="AP32" s="691">
        <v>0</v>
      </c>
      <c r="AQ32" s="716">
        <v>3</v>
      </c>
      <c r="AR32" s="691">
        <v>0</v>
      </c>
      <c r="AS32" s="690">
        <f t="shared" si="51"/>
        <v>1</v>
      </c>
      <c r="AT32" s="690" t="e">
        <f t="shared" si="52"/>
        <v>#DIV/0!</v>
      </c>
      <c r="AU32" s="690">
        <f t="shared" si="53"/>
        <v>0.5</v>
      </c>
      <c r="AV32" s="690" t="e">
        <f t="shared" si="54"/>
        <v>#DIV/0!</v>
      </c>
      <c r="AW32" s="516" t="s">
        <v>1701</v>
      </c>
      <c r="AX32" s="66">
        <v>3</v>
      </c>
      <c r="AY32" s="693" t="str">
        <f t="shared" si="55"/>
        <v>Ejecutar los procesos de liquidación y reconocimiento de la UPC de los afiliados al régimen subsidiado.</v>
      </c>
      <c r="AZ32" s="691">
        <v>0</v>
      </c>
      <c r="BA32" s="134"/>
      <c r="BB32" s="134"/>
      <c r="BC32" s="690">
        <f t="shared" si="56"/>
        <v>0</v>
      </c>
      <c r="BD32" s="690" t="e">
        <f t="shared" si="57"/>
        <v>#DIV/0!</v>
      </c>
      <c r="BE32" s="690">
        <f t="shared" si="58"/>
        <v>0.5</v>
      </c>
      <c r="BF32" s="690" t="e">
        <f t="shared" si="59"/>
        <v>#DIV/0!</v>
      </c>
      <c r="BG32" s="690"/>
      <c r="BH32" s="66">
        <v>3</v>
      </c>
      <c r="BI32" s="693" t="str">
        <f t="shared" si="60"/>
        <v>Ejecutar los procesos de liquidación y reconocimiento de la UPC de los afiliados al régimen subsidiado.</v>
      </c>
      <c r="BJ32" s="691">
        <v>0</v>
      </c>
      <c r="BK32" s="134"/>
      <c r="BL32" s="134"/>
      <c r="BM32" s="698">
        <f t="shared" si="61"/>
        <v>0</v>
      </c>
      <c r="BN32" s="698" t="e">
        <f t="shared" si="62"/>
        <v>#DIV/0!</v>
      </c>
      <c r="BO32" s="698">
        <f t="shared" si="63"/>
        <v>0.5</v>
      </c>
      <c r="BP32" s="698" t="e">
        <f t="shared" si="64"/>
        <v>#DIV/0!</v>
      </c>
      <c r="BQ32" s="698"/>
      <c r="BR32" s="697">
        <f t="shared" si="65"/>
        <v>1</v>
      </c>
      <c r="BS32" s="697" t="str">
        <f t="shared" si="66"/>
        <v>No Prog ni Ejec</v>
      </c>
      <c r="BT32" s="697">
        <f t="shared" si="67"/>
        <v>1</v>
      </c>
      <c r="BU32" s="697" t="str">
        <f t="shared" si="68"/>
        <v>No Prog ni Ejec</v>
      </c>
      <c r="BV32" s="697">
        <f t="shared" si="69"/>
        <v>0</v>
      </c>
      <c r="BW32" s="697" t="str">
        <f t="shared" si="70"/>
        <v>No Prog ni Ejec</v>
      </c>
      <c r="BX32" s="697">
        <f t="shared" si="71"/>
        <v>0</v>
      </c>
      <c r="BY32" s="786" t="str">
        <f t="shared" si="72"/>
        <v>No Prog ni Ejec</v>
      </c>
      <c r="BZ32" s="157">
        <f t="shared" si="0"/>
        <v>0</v>
      </c>
    </row>
    <row r="33" spans="1:78" s="70" customFormat="1" ht="102" x14ac:dyDescent="0.2">
      <c r="A33" s="785">
        <v>11400</v>
      </c>
      <c r="B33" s="693" t="s">
        <v>12</v>
      </c>
      <c r="C33" s="693" t="s">
        <v>330</v>
      </c>
      <c r="D33" s="129" t="s">
        <v>1023</v>
      </c>
      <c r="E33" s="129"/>
      <c r="F33" s="695" t="s">
        <v>65</v>
      </c>
      <c r="G33" s="693" t="s">
        <v>344</v>
      </c>
      <c r="H33" s="695" t="s">
        <v>66</v>
      </c>
      <c r="I33" s="693" t="s">
        <v>340</v>
      </c>
      <c r="J33" s="695" t="s">
        <v>974</v>
      </c>
      <c r="K33" s="693" t="s">
        <v>393</v>
      </c>
      <c r="L33" s="716" t="s">
        <v>391</v>
      </c>
      <c r="M33" s="66">
        <v>12</v>
      </c>
      <c r="N33" s="695" t="s">
        <v>982</v>
      </c>
      <c r="O33" s="693" t="s">
        <v>392</v>
      </c>
      <c r="P33" s="691">
        <v>0</v>
      </c>
      <c r="Q33" s="706">
        <v>1</v>
      </c>
      <c r="R33" s="693" t="s">
        <v>17</v>
      </c>
      <c r="S33" s="693" t="s">
        <v>295</v>
      </c>
      <c r="T33" s="693" t="s">
        <v>634</v>
      </c>
      <c r="U33" s="693" t="s">
        <v>637</v>
      </c>
      <c r="V33" s="693" t="s">
        <v>75</v>
      </c>
      <c r="W33" s="693" t="s">
        <v>1281</v>
      </c>
      <c r="X33" s="693" t="s">
        <v>417</v>
      </c>
      <c r="Y33" s="693" t="s">
        <v>204</v>
      </c>
      <c r="Z33" s="66">
        <v>12</v>
      </c>
      <c r="AA33" s="71" t="str">
        <f t="shared" si="73"/>
        <v xml:space="preserve">Ejecutar los procesos de liquidación y reconocimiento de licencias de maternidad y paternidad. </v>
      </c>
      <c r="AB33" s="72">
        <f t="shared" si="74"/>
        <v>0</v>
      </c>
      <c r="AC33" s="700" t="s">
        <v>48</v>
      </c>
      <c r="AD33" s="66">
        <v>3</v>
      </c>
      <c r="AE33" s="693" t="str">
        <f t="shared" si="45"/>
        <v xml:space="preserve">Ejecutar los procesos de liquidación y reconocimiento de licencias de maternidad y paternidad. </v>
      </c>
      <c r="AF33" s="691">
        <v>0</v>
      </c>
      <c r="AG33" s="695">
        <v>3</v>
      </c>
      <c r="AH33" s="691">
        <v>0</v>
      </c>
      <c r="AI33" s="690">
        <f t="shared" si="46"/>
        <v>1</v>
      </c>
      <c r="AJ33" s="690" t="e">
        <f t="shared" si="47"/>
        <v>#DIV/0!</v>
      </c>
      <c r="AK33" s="690">
        <f t="shared" si="48"/>
        <v>0.25</v>
      </c>
      <c r="AL33" s="690" t="e">
        <f t="shared" si="49"/>
        <v>#DIV/0!</v>
      </c>
      <c r="AM33" s="484" t="s">
        <v>1379</v>
      </c>
      <c r="AN33" s="66">
        <v>3</v>
      </c>
      <c r="AO33" s="693" t="str">
        <f t="shared" si="50"/>
        <v xml:space="preserve">Ejecutar los procesos de liquidación y reconocimiento de licencias de maternidad y paternidad. </v>
      </c>
      <c r="AP33" s="691">
        <v>0</v>
      </c>
      <c r="AQ33" s="716">
        <v>3</v>
      </c>
      <c r="AR33" s="691">
        <v>0</v>
      </c>
      <c r="AS33" s="690">
        <f t="shared" si="51"/>
        <v>1</v>
      </c>
      <c r="AT33" s="690" t="e">
        <f t="shared" si="52"/>
        <v>#DIV/0!</v>
      </c>
      <c r="AU33" s="690">
        <f t="shared" si="53"/>
        <v>0.5</v>
      </c>
      <c r="AV33" s="690" t="e">
        <f t="shared" si="54"/>
        <v>#DIV/0!</v>
      </c>
      <c r="AW33" s="516" t="s">
        <v>1379</v>
      </c>
      <c r="AX33" s="66">
        <v>3</v>
      </c>
      <c r="AY33" s="693" t="str">
        <f t="shared" si="55"/>
        <v xml:space="preserve">Ejecutar los procesos de liquidación y reconocimiento de licencias de maternidad y paternidad. </v>
      </c>
      <c r="AZ33" s="691">
        <v>0</v>
      </c>
      <c r="BA33" s="134"/>
      <c r="BB33" s="134"/>
      <c r="BC33" s="690">
        <f t="shared" si="56"/>
        <v>0</v>
      </c>
      <c r="BD33" s="690" t="e">
        <f t="shared" si="57"/>
        <v>#DIV/0!</v>
      </c>
      <c r="BE33" s="690">
        <f t="shared" si="58"/>
        <v>0.5</v>
      </c>
      <c r="BF33" s="690" t="e">
        <f t="shared" si="59"/>
        <v>#DIV/0!</v>
      </c>
      <c r="BG33" s="690"/>
      <c r="BH33" s="66">
        <v>3</v>
      </c>
      <c r="BI33" s="693" t="str">
        <f t="shared" si="60"/>
        <v xml:space="preserve">Ejecutar los procesos de liquidación y reconocimiento de licencias de maternidad y paternidad. </v>
      </c>
      <c r="BJ33" s="691">
        <v>0</v>
      </c>
      <c r="BK33" s="134"/>
      <c r="BL33" s="134"/>
      <c r="BM33" s="698">
        <f t="shared" si="61"/>
        <v>0</v>
      </c>
      <c r="BN33" s="698" t="e">
        <f t="shared" si="62"/>
        <v>#DIV/0!</v>
      </c>
      <c r="BO33" s="698">
        <f t="shared" si="63"/>
        <v>0.5</v>
      </c>
      <c r="BP33" s="698" t="e">
        <f t="shared" si="64"/>
        <v>#DIV/0!</v>
      </c>
      <c r="BQ33" s="698"/>
      <c r="BR33" s="697">
        <f t="shared" si="65"/>
        <v>1</v>
      </c>
      <c r="BS33" s="697" t="str">
        <f t="shared" si="66"/>
        <v>No Prog ni Ejec</v>
      </c>
      <c r="BT33" s="697">
        <f t="shared" si="67"/>
        <v>1</v>
      </c>
      <c r="BU33" s="697" t="str">
        <f t="shared" si="68"/>
        <v>No Prog ni Ejec</v>
      </c>
      <c r="BV33" s="697">
        <f t="shared" si="69"/>
        <v>0</v>
      </c>
      <c r="BW33" s="697" t="str">
        <f t="shared" si="70"/>
        <v>No Prog ni Ejec</v>
      </c>
      <c r="BX33" s="697">
        <f t="shared" si="71"/>
        <v>0</v>
      </c>
      <c r="BY33" s="786" t="str">
        <f t="shared" si="72"/>
        <v>No Prog ni Ejec</v>
      </c>
      <c r="BZ33" s="157">
        <f t="shared" si="0"/>
        <v>0</v>
      </c>
    </row>
    <row r="34" spans="1:78" s="70" customFormat="1" ht="102" x14ac:dyDescent="0.2">
      <c r="A34" s="785">
        <v>11400</v>
      </c>
      <c r="B34" s="693" t="s">
        <v>12</v>
      </c>
      <c r="C34" s="693" t="s">
        <v>330</v>
      </c>
      <c r="D34" s="129" t="s">
        <v>1023</v>
      </c>
      <c r="E34" s="129"/>
      <c r="F34" s="695" t="s">
        <v>65</v>
      </c>
      <c r="G34" s="693" t="s">
        <v>344</v>
      </c>
      <c r="H34" s="695" t="s">
        <v>66</v>
      </c>
      <c r="I34" s="693" t="s">
        <v>340</v>
      </c>
      <c r="J34" s="695" t="s">
        <v>975</v>
      </c>
      <c r="K34" s="693" t="s">
        <v>396</v>
      </c>
      <c r="L34" s="716" t="s">
        <v>391</v>
      </c>
      <c r="M34" s="66">
        <v>6</v>
      </c>
      <c r="N34" s="695" t="s">
        <v>983</v>
      </c>
      <c r="O34" s="693" t="s">
        <v>395</v>
      </c>
      <c r="P34" s="691">
        <v>0</v>
      </c>
      <c r="Q34" s="706">
        <v>1</v>
      </c>
      <c r="R34" s="693" t="s">
        <v>17</v>
      </c>
      <c r="S34" s="693" t="s">
        <v>295</v>
      </c>
      <c r="T34" s="693" t="s">
        <v>634</v>
      </c>
      <c r="U34" s="693" t="s">
        <v>637</v>
      </c>
      <c r="V34" s="693" t="s">
        <v>75</v>
      </c>
      <c r="W34" s="693" t="s">
        <v>204</v>
      </c>
      <c r="X34" s="693" t="s">
        <v>397</v>
      </c>
      <c r="Y34" s="693" t="s">
        <v>204</v>
      </c>
      <c r="Z34" s="66">
        <v>6</v>
      </c>
      <c r="AA34" s="71" t="str">
        <f t="shared" si="73"/>
        <v xml:space="preserve">Desarrollar auditorías a los procesos de liquidación y reconocimiento de UPC de los afiliados al régimen contributivo y subsidiado. </v>
      </c>
      <c r="AB34" s="72">
        <f t="shared" si="74"/>
        <v>0</v>
      </c>
      <c r="AC34" s="700" t="s">
        <v>48</v>
      </c>
      <c r="AD34" s="66">
        <v>0</v>
      </c>
      <c r="AE34" s="693" t="str">
        <f t="shared" si="45"/>
        <v xml:space="preserve">Desarrollar auditorías a los procesos de liquidación y reconocimiento de UPC de los afiliados al régimen contributivo y subsidiado. </v>
      </c>
      <c r="AF34" s="691">
        <v>0</v>
      </c>
      <c r="AG34" s="695">
        <v>0</v>
      </c>
      <c r="AH34" s="691">
        <v>0</v>
      </c>
      <c r="AI34" s="690" t="e">
        <f>+(AG34/AD34)</f>
        <v>#DIV/0!</v>
      </c>
      <c r="AJ34" s="690" t="e">
        <f t="shared" si="47"/>
        <v>#DIV/0!</v>
      </c>
      <c r="AK34" s="690">
        <f t="shared" si="48"/>
        <v>0</v>
      </c>
      <c r="AL34" s="690" t="e">
        <f t="shared" si="49"/>
        <v>#DIV/0!</v>
      </c>
      <c r="AM34" s="484" t="s">
        <v>1380</v>
      </c>
      <c r="AN34" s="66">
        <v>2</v>
      </c>
      <c r="AO34" s="693" t="str">
        <f t="shared" si="50"/>
        <v xml:space="preserve">Desarrollar auditorías a los procesos de liquidación y reconocimiento de UPC de los afiliados al régimen contributivo y subsidiado. </v>
      </c>
      <c r="AP34" s="691">
        <v>0</v>
      </c>
      <c r="AQ34" s="716">
        <v>2</v>
      </c>
      <c r="AR34" s="691">
        <v>0</v>
      </c>
      <c r="AS34" s="690">
        <f t="shared" si="51"/>
        <v>1</v>
      </c>
      <c r="AT34" s="690" t="e">
        <f t="shared" si="52"/>
        <v>#DIV/0!</v>
      </c>
      <c r="AU34" s="690">
        <f t="shared" si="53"/>
        <v>0.33333333333333331</v>
      </c>
      <c r="AV34" s="690" t="e">
        <f t="shared" si="54"/>
        <v>#DIV/0!</v>
      </c>
      <c r="AW34" s="516" t="s">
        <v>1702</v>
      </c>
      <c r="AX34" s="66">
        <v>2</v>
      </c>
      <c r="AY34" s="693" t="str">
        <f t="shared" si="55"/>
        <v xml:space="preserve">Desarrollar auditorías a los procesos de liquidación y reconocimiento de UPC de los afiliados al régimen contributivo y subsidiado. </v>
      </c>
      <c r="AZ34" s="691">
        <v>0</v>
      </c>
      <c r="BA34" s="134"/>
      <c r="BB34" s="134"/>
      <c r="BC34" s="690">
        <f t="shared" si="56"/>
        <v>0</v>
      </c>
      <c r="BD34" s="690" t="e">
        <f t="shared" si="57"/>
        <v>#DIV/0!</v>
      </c>
      <c r="BE34" s="690">
        <f t="shared" si="58"/>
        <v>0.33333333333333331</v>
      </c>
      <c r="BF34" s="690" t="e">
        <f t="shared" si="59"/>
        <v>#DIV/0!</v>
      </c>
      <c r="BG34" s="690"/>
      <c r="BH34" s="66">
        <v>2</v>
      </c>
      <c r="BI34" s="693" t="str">
        <f t="shared" si="60"/>
        <v xml:space="preserve">Desarrollar auditorías a los procesos de liquidación y reconocimiento de UPC de los afiliados al régimen contributivo y subsidiado. </v>
      </c>
      <c r="BJ34" s="691">
        <v>0</v>
      </c>
      <c r="BK34" s="134"/>
      <c r="BL34" s="134"/>
      <c r="BM34" s="698">
        <f t="shared" si="61"/>
        <v>0</v>
      </c>
      <c r="BN34" s="698" t="e">
        <f t="shared" si="62"/>
        <v>#DIV/0!</v>
      </c>
      <c r="BO34" s="698">
        <f t="shared" si="63"/>
        <v>0.33333333333333331</v>
      </c>
      <c r="BP34" s="698" t="e">
        <f t="shared" si="64"/>
        <v>#DIV/0!</v>
      </c>
      <c r="BQ34" s="698"/>
      <c r="BR34" s="697" t="str">
        <f t="shared" si="65"/>
        <v>No Prog ni Ejec</v>
      </c>
      <c r="BS34" s="697" t="str">
        <f t="shared" si="66"/>
        <v>No Prog ni Ejec</v>
      </c>
      <c r="BT34" s="697">
        <f t="shared" si="67"/>
        <v>1</v>
      </c>
      <c r="BU34" s="697" t="str">
        <f t="shared" si="68"/>
        <v>No Prog ni Ejec</v>
      </c>
      <c r="BV34" s="697">
        <f t="shared" si="69"/>
        <v>0</v>
      </c>
      <c r="BW34" s="697" t="str">
        <f t="shared" si="70"/>
        <v>No Prog ni Ejec</v>
      </c>
      <c r="BX34" s="697">
        <f t="shared" si="71"/>
        <v>0</v>
      </c>
      <c r="BY34" s="786" t="str">
        <f t="shared" si="72"/>
        <v>No Prog ni Ejec</v>
      </c>
      <c r="BZ34" s="157">
        <f t="shared" si="0"/>
        <v>0</v>
      </c>
    </row>
    <row r="35" spans="1:78" s="81" customFormat="1" ht="140.25" customHeight="1" x14ac:dyDescent="0.2">
      <c r="A35" s="785">
        <v>11400</v>
      </c>
      <c r="B35" s="724" t="s">
        <v>12</v>
      </c>
      <c r="C35" s="724" t="s">
        <v>330</v>
      </c>
      <c r="D35" s="177" t="s">
        <v>1023</v>
      </c>
      <c r="E35" s="177"/>
      <c r="F35" s="695" t="s">
        <v>65</v>
      </c>
      <c r="G35" s="724" t="s">
        <v>403</v>
      </c>
      <c r="H35" s="695" t="s">
        <v>67</v>
      </c>
      <c r="I35" s="724" t="s">
        <v>343</v>
      </c>
      <c r="J35" s="73" t="s">
        <v>967</v>
      </c>
      <c r="K35" s="724" t="s">
        <v>1065</v>
      </c>
      <c r="L35" s="60" t="s">
        <v>391</v>
      </c>
      <c r="M35" s="74">
        <v>8</v>
      </c>
      <c r="N35" s="695" t="s">
        <v>115</v>
      </c>
      <c r="O35" s="724" t="s">
        <v>404</v>
      </c>
      <c r="P35" s="722">
        <v>0</v>
      </c>
      <c r="Q35" s="706">
        <v>1</v>
      </c>
      <c r="R35" s="724" t="s">
        <v>294</v>
      </c>
      <c r="S35" s="724" t="s">
        <v>308</v>
      </c>
      <c r="T35" s="724" t="s">
        <v>633</v>
      </c>
      <c r="U35" s="724" t="s">
        <v>635</v>
      </c>
      <c r="V35" s="693" t="s">
        <v>1055</v>
      </c>
      <c r="W35" s="693" t="s">
        <v>1278</v>
      </c>
      <c r="X35" s="724" t="s">
        <v>1066</v>
      </c>
      <c r="Y35" s="693" t="s">
        <v>204</v>
      </c>
      <c r="Z35" s="74">
        <v>8</v>
      </c>
      <c r="AA35" s="76" t="str">
        <f t="shared" si="73"/>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B35" s="77">
        <f t="shared" si="74"/>
        <v>0</v>
      </c>
      <c r="AC35" s="725" t="s">
        <v>48</v>
      </c>
      <c r="AD35" s="74">
        <v>2</v>
      </c>
      <c r="AE35" s="724" t="str">
        <f t="shared" si="45"/>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F35" s="722">
        <v>0</v>
      </c>
      <c r="AG35" s="135">
        <v>2</v>
      </c>
      <c r="AH35" s="722">
        <v>0</v>
      </c>
      <c r="AI35" s="80">
        <f t="shared" si="46"/>
        <v>1</v>
      </c>
      <c r="AJ35" s="80" t="e">
        <f t="shared" si="47"/>
        <v>#DIV/0!</v>
      </c>
      <c r="AK35" s="80">
        <f t="shared" si="48"/>
        <v>0.25</v>
      </c>
      <c r="AL35" s="80" t="e">
        <f t="shared" si="49"/>
        <v>#DIV/0!</v>
      </c>
      <c r="AM35" s="513" t="s">
        <v>1421</v>
      </c>
      <c r="AN35" s="74">
        <v>2</v>
      </c>
      <c r="AO35" s="724" t="str">
        <f t="shared" si="50"/>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P35" s="722">
        <v>0</v>
      </c>
      <c r="AQ35" s="60">
        <v>2</v>
      </c>
      <c r="AR35" s="722">
        <v>0</v>
      </c>
      <c r="AS35" s="80">
        <f t="shared" si="51"/>
        <v>1</v>
      </c>
      <c r="AT35" s="80" t="e">
        <f t="shared" si="52"/>
        <v>#DIV/0!</v>
      </c>
      <c r="AU35" s="80">
        <f t="shared" si="53"/>
        <v>0.5</v>
      </c>
      <c r="AV35" s="80" t="e">
        <f t="shared" si="54"/>
        <v>#DIV/0!</v>
      </c>
      <c r="AW35" s="768" t="s">
        <v>1763</v>
      </c>
      <c r="AX35" s="74">
        <v>2</v>
      </c>
      <c r="AY35" s="724" t="str">
        <f t="shared" si="55"/>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Z35" s="722">
        <v>0</v>
      </c>
      <c r="BA35" s="135"/>
      <c r="BB35" s="135"/>
      <c r="BC35" s="80">
        <f t="shared" si="56"/>
        <v>0</v>
      </c>
      <c r="BD35" s="80" t="e">
        <f t="shared" si="57"/>
        <v>#DIV/0!</v>
      </c>
      <c r="BE35" s="80">
        <f t="shared" si="58"/>
        <v>0.5</v>
      </c>
      <c r="BF35" s="80" t="e">
        <f t="shared" si="59"/>
        <v>#DIV/0!</v>
      </c>
      <c r="BG35" s="80"/>
      <c r="BH35" s="74">
        <v>2</v>
      </c>
      <c r="BI35" s="724" t="str">
        <f t="shared" si="60"/>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BJ35" s="722">
        <v>0</v>
      </c>
      <c r="BK35" s="135"/>
      <c r="BL35" s="135"/>
      <c r="BM35" s="726">
        <f t="shared" si="61"/>
        <v>0</v>
      </c>
      <c r="BN35" s="726" t="e">
        <f t="shared" si="62"/>
        <v>#DIV/0!</v>
      </c>
      <c r="BO35" s="726">
        <f t="shared" si="63"/>
        <v>0.5</v>
      </c>
      <c r="BP35" s="726" t="e">
        <f t="shared" si="64"/>
        <v>#DIV/0!</v>
      </c>
      <c r="BQ35" s="726"/>
      <c r="BR35" s="160">
        <f t="shared" si="65"/>
        <v>1</v>
      </c>
      <c r="BS35" s="160" t="str">
        <f t="shared" si="66"/>
        <v>No Prog ni Ejec</v>
      </c>
      <c r="BT35" s="160">
        <f t="shared" si="67"/>
        <v>1</v>
      </c>
      <c r="BU35" s="160" t="str">
        <f t="shared" si="68"/>
        <v>No Prog ni Ejec</v>
      </c>
      <c r="BV35" s="160">
        <f t="shared" si="69"/>
        <v>0</v>
      </c>
      <c r="BW35" s="160" t="str">
        <f t="shared" si="70"/>
        <v>No Prog ni Ejec</v>
      </c>
      <c r="BX35" s="160">
        <f t="shared" si="71"/>
        <v>0</v>
      </c>
      <c r="BY35" s="787" t="str">
        <f t="shared" si="72"/>
        <v>No Prog ni Ejec</v>
      </c>
      <c r="BZ35" s="157">
        <f t="shared" si="0"/>
        <v>0</v>
      </c>
    </row>
    <row r="36" spans="1:78" s="81" customFormat="1" ht="140.25" customHeight="1" x14ac:dyDescent="0.2">
      <c r="A36" s="788">
        <v>11900</v>
      </c>
      <c r="B36" s="724" t="s">
        <v>125</v>
      </c>
      <c r="C36" s="724" t="s">
        <v>330</v>
      </c>
      <c r="D36" s="177" t="s">
        <v>1023</v>
      </c>
      <c r="E36" s="177"/>
      <c r="F36" s="73" t="s">
        <v>126</v>
      </c>
      <c r="G36" s="724" t="s">
        <v>60</v>
      </c>
      <c r="H36" s="131" t="s">
        <v>128</v>
      </c>
      <c r="I36" s="724" t="s">
        <v>342</v>
      </c>
      <c r="J36" s="73" t="s">
        <v>648</v>
      </c>
      <c r="K36" s="724" t="s">
        <v>467</v>
      </c>
      <c r="L36" s="60" t="s">
        <v>391</v>
      </c>
      <c r="M36" s="74">
        <v>2</v>
      </c>
      <c r="N36" s="73" t="s">
        <v>149</v>
      </c>
      <c r="O36" s="724" t="s">
        <v>466</v>
      </c>
      <c r="P36" s="722">
        <v>0</v>
      </c>
      <c r="Q36" s="706">
        <v>1</v>
      </c>
      <c r="R36" s="724" t="s">
        <v>17</v>
      </c>
      <c r="S36" s="724" t="s">
        <v>28</v>
      </c>
      <c r="T36" s="724" t="s">
        <v>634</v>
      </c>
      <c r="U36" s="724" t="s">
        <v>637</v>
      </c>
      <c r="V36" s="693" t="s">
        <v>1047</v>
      </c>
      <c r="W36" s="693" t="s">
        <v>1269</v>
      </c>
      <c r="X36" s="724" t="s">
        <v>468</v>
      </c>
      <c r="Y36" s="693" t="s">
        <v>204</v>
      </c>
      <c r="Z36" s="74">
        <v>2</v>
      </c>
      <c r="AA36" s="76" t="str">
        <f t="shared" si="73"/>
        <v>Adelantar acercamientos con altos organismos de rama judicial con el objeto de reducir el volumen de tutelas que recibe la entidad</v>
      </c>
      <c r="AB36" s="77">
        <f t="shared" si="74"/>
        <v>0</v>
      </c>
      <c r="AC36" s="725" t="s">
        <v>48</v>
      </c>
      <c r="AD36" s="74">
        <v>0</v>
      </c>
      <c r="AE36" s="724" t="str">
        <f t="shared" si="45"/>
        <v>Adelantar acercamientos con altos organismos de rama judicial con el objeto de reducir el volumen de tutelas que recibe la entidad</v>
      </c>
      <c r="AF36" s="722">
        <v>0</v>
      </c>
      <c r="AG36" s="500">
        <v>0</v>
      </c>
      <c r="AH36" s="520">
        <v>0</v>
      </c>
      <c r="AI36" s="80" t="e">
        <f t="shared" si="46"/>
        <v>#DIV/0!</v>
      </c>
      <c r="AJ36" s="80" t="e">
        <f t="shared" si="47"/>
        <v>#DIV/0!</v>
      </c>
      <c r="AK36" s="80">
        <f t="shared" si="48"/>
        <v>0</v>
      </c>
      <c r="AL36" s="80" t="e">
        <f t="shared" si="49"/>
        <v>#DIV/0!</v>
      </c>
      <c r="AM36" s="501" t="s">
        <v>1343</v>
      </c>
      <c r="AN36" s="74">
        <v>1</v>
      </c>
      <c r="AO36" s="724" t="str">
        <f t="shared" si="50"/>
        <v>Adelantar acercamientos con altos organismos de rama judicial con el objeto de reducir el volumen de tutelas que recibe la entidad</v>
      </c>
      <c r="AP36" s="722">
        <v>0</v>
      </c>
      <c r="AQ36" s="60">
        <v>0</v>
      </c>
      <c r="AR36" s="722">
        <v>0</v>
      </c>
      <c r="AS36" s="80">
        <f t="shared" si="51"/>
        <v>0</v>
      </c>
      <c r="AT36" s="80" t="e">
        <f t="shared" si="52"/>
        <v>#DIV/0!</v>
      </c>
      <c r="AU36" s="80">
        <f t="shared" si="53"/>
        <v>0</v>
      </c>
      <c r="AV36" s="80" t="e">
        <f t="shared" si="54"/>
        <v>#DIV/0!</v>
      </c>
      <c r="AW36" s="768" t="s">
        <v>1725</v>
      </c>
      <c r="AX36" s="74">
        <v>0</v>
      </c>
      <c r="AY36" s="724" t="str">
        <f t="shared" si="55"/>
        <v>Adelantar acercamientos con altos organismos de rama judicial con el objeto de reducir el volumen de tutelas que recibe la entidad</v>
      </c>
      <c r="AZ36" s="722">
        <v>0</v>
      </c>
      <c r="BA36" s="135"/>
      <c r="BB36" s="135"/>
      <c r="BC36" s="80" t="e">
        <f t="shared" si="56"/>
        <v>#DIV/0!</v>
      </c>
      <c r="BD36" s="80" t="e">
        <f t="shared" si="57"/>
        <v>#DIV/0!</v>
      </c>
      <c r="BE36" s="80">
        <f t="shared" si="58"/>
        <v>0</v>
      </c>
      <c r="BF36" s="80" t="e">
        <f t="shared" si="59"/>
        <v>#DIV/0!</v>
      </c>
      <c r="BG36" s="80"/>
      <c r="BH36" s="74">
        <v>1</v>
      </c>
      <c r="BI36" s="724" t="str">
        <f t="shared" si="60"/>
        <v>Adelantar acercamientos con altos organismos de rama judicial con el objeto de reducir el volumen de tutelas que recibe la entidad</v>
      </c>
      <c r="BJ36" s="722">
        <v>0</v>
      </c>
      <c r="BK36" s="135"/>
      <c r="BL36" s="135"/>
      <c r="BM36" s="726">
        <f t="shared" si="61"/>
        <v>0</v>
      </c>
      <c r="BN36" s="726" t="e">
        <f t="shared" si="62"/>
        <v>#DIV/0!</v>
      </c>
      <c r="BO36" s="726">
        <f t="shared" si="63"/>
        <v>0</v>
      </c>
      <c r="BP36" s="726" t="e">
        <f t="shared" si="64"/>
        <v>#DIV/0!</v>
      </c>
      <c r="BQ36" s="726"/>
      <c r="BR36" s="160" t="str">
        <f t="shared" si="65"/>
        <v>No Prog ni Ejec</v>
      </c>
      <c r="BS36" s="160" t="str">
        <f t="shared" si="66"/>
        <v>No Prog ni Ejec</v>
      </c>
      <c r="BT36" s="160">
        <f t="shared" si="67"/>
        <v>0</v>
      </c>
      <c r="BU36" s="160" t="str">
        <f t="shared" si="68"/>
        <v>No Prog ni Ejec</v>
      </c>
      <c r="BV36" s="160" t="str">
        <f t="shared" si="69"/>
        <v>No Prog ni Ejec</v>
      </c>
      <c r="BW36" s="160" t="str">
        <f t="shared" si="70"/>
        <v>No Prog ni Ejec</v>
      </c>
      <c r="BX36" s="160">
        <f t="shared" si="71"/>
        <v>0</v>
      </c>
      <c r="BY36" s="787" t="str">
        <f t="shared" si="72"/>
        <v>No Prog ni Ejec</v>
      </c>
      <c r="BZ36" s="157">
        <f t="shared" si="0"/>
        <v>0</v>
      </c>
    </row>
    <row r="37" spans="1:78" s="81" customFormat="1" ht="140.25" customHeight="1" x14ac:dyDescent="0.2">
      <c r="A37" s="788">
        <v>11900</v>
      </c>
      <c r="B37" s="724" t="s">
        <v>125</v>
      </c>
      <c r="C37" s="724" t="s">
        <v>330</v>
      </c>
      <c r="D37" s="177" t="s">
        <v>1023</v>
      </c>
      <c r="E37" s="177"/>
      <c r="F37" s="73" t="s">
        <v>126</v>
      </c>
      <c r="G37" s="724" t="s">
        <v>60</v>
      </c>
      <c r="H37" s="131" t="s">
        <v>128</v>
      </c>
      <c r="I37" s="724" t="s">
        <v>342</v>
      </c>
      <c r="J37" s="73" t="s">
        <v>650</v>
      </c>
      <c r="K37" s="724" t="s">
        <v>499</v>
      </c>
      <c r="L37" s="60" t="s">
        <v>391</v>
      </c>
      <c r="M37" s="74">
        <v>1</v>
      </c>
      <c r="N37" s="73" t="s">
        <v>649</v>
      </c>
      <c r="O37" s="724" t="s">
        <v>500</v>
      </c>
      <c r="P37" s="722">
        <v>0</v>
      </c>
      <c r="Q37" s="706">
        <v>1</v>
      </c>
      <c r="R37" s="724" t="s">
        <v>18</v>
      </c>
      <c r="S37" s="724" t="s">
        <v>24</v>
      </c>
      <c r="T37" s="724" t="s">
        <v>634</v>
      </c>
      <c r="U37" s="724" t="s">
        <v>637</v>
      </c>
      <c r="V37" s="693" t="s">
        <v>1048</v>
      </c>
      <c r="W37" s="693" t="s">
        <v>204</v>
      </c>
      <c r="X37" s="724" t="s">
        <v>1609</v>
      </c>
      <c r="Y37" s="693" t="s">
        <v>1278</v>
      </c>
      <c r="Z37" s="74">
        <v>1</v>
      </c>
      <c r="AA37" s="76" t="str">
        <f t="shared" si="73"/>
        <v>Estudiar el convenio 370 del 2015 suscrito con el Ministerio de Transporte  y adelantar las gestiones que correspondan para que se amplíen los criterios de acceso a la información a la plataforma del RUNT</v>
      </c>
      <c r="AB37" s="77">
        <f t="shared" si="74"/>
        <v>0</v>
      </c>
      <c r="AC37" s="725" t="s">
        <v>48</v>
      </c>
      <c r="AD37" s="74">
        <v>0</v>
      </c>
      <c r="AE37" s="724" t="str">
        <f t="shared" si="45"/>
        <v>Estudiar el convenio 370 del 2015 suscrito con el Ministerio de Transporte  y adelantar las gestiones que correspondan para que se amplíen los criterios de acceso a la información a la plataforma del RUNT</v>
      </c>
      <c r="AF37" s="722">
        <v>0</v>
      </c>
      <c r="AG37" s="500">
        <v>0</v>
      </c>
      <c r="AH37" s="520">
        <v>0</v>
      </c>
      <c r="AI37" s="80" t="e">
        <f t="shared" si="46"/>
        <v>#DIV/0!</v>
      </c>
      <c r="AJ37" s="80" t="e">
        <f t="shared" si="47"/>
        <v>#DIV/0!</v>
      </c>
      <c r="AK37" s="80">
        <f t="shared" si="48"/>
        <v>0</v>
      </c>
      <c r="AL37" s="80" t="e">
        <f t="shared" si="49"/>
        <v>#DIV/0!</v>
      </c>
      <c r="AM37" s="501" t="s">
        <v>1343</v>
      </c>
      <c r="AN37" s="74">
        <v>0</v>
      </c>
      <c r="AO37" s="724" t="str">
        <f t="shared" si="50"/>
        <v>Estudiar el convenio 370 del 2015 suscrito con el Ministerio de Transporte  y adelantar las gestiones que correspondan para que se amplíen los criterios de acceso a la información a la plataforma del RUNT</v>
      </c>
      <c r="AP37" s="722">
        <v>0</v>
      </c>
      <c r="AQ37" s="60">
        <v>0</v>
      </c>
      <c r="AR37" s="722">
        <v>0</v>
      </c>
      <c r="AS37" s="80" t="e">
        <f t="shared" si="51"/>
        <v>#DIV/0!</v>
      </c>
      <c r="AT37" s="80" t="e">
        <f t="shared" si="52"/>
        <v>#DIV/0!</v>
      </c>
      <c r="AU37" s="80">
        <f t="shared" si="53"/>
        <v>0</v>
      </c>
      <c r="AV37" s="80" t="e">
        <f t="shared" si="54"/>
        <v>#DIV/0!</v>
      </c>
      <c r="AW37" s="769" t="s">
        <v>1343</v>
      </c>
      <c r="AX37" s="74">
        <v>0</v>
      </c>
      <c r="AY37" s="724" t="str">
        <f t="shared" si="55"/>
        <v>Estudiar el convenio 370 del 2015 suscrito con el Ministerio de Transporte  y adelantar las gestiones que correspondan para que se amplíen los criterios de acceso a la información a la plataforma del RUNT</v>
      </c>
      <c r="AZ37" s="722">
        <v>0</v>
      </c>
      <c r="BA37" s="135"/>
      <c r="BB37" s="135"/>
      <c r="BC37" s="80" t="e">
        <f t="shared" si="56"/>
        <v>#DIV/0!</v>
      </c>
      <c r="BD37" s="80" t="e">
        <f t="shared" si="57"/>
        <v>#DIV/0!</v>
      </c>
      <c r="BE37" s="80">
        <f t="shared" si="58"/>
        <v>0</v>
      </c>
      <c r="BF37" s="80" t="e">
        <f t="shared" si="59"/>
        <v>#DIV/0!</v>
      </c>
      <c r="BG37" s="80"/>
      <c r="BH37" s="74">
        <v>1</v>
      </c>
      <c r="BI37" s="724" t="str">
        <f t="shared" si="60"/>
        <v>Estudiar el convenio 370 del 2015 suscrito con el Ministerio de Transporte  y adelantar las gestiones que correspondan para que se amplíen los criterios de acceso a la información a la plataforma del RUNT</v>
      </c>
      <c r="BJ37" s="722">
        <v>0</v>
      </c>
      <c r="BK37" s="135"/>
      <c r="BL37" s="135"/>
      <c r="BM37" s="726">
        <f t="shared" si="61"/>
        <v>0</v>
      </c>
      <c r="BN37" s="726" t="e">
        <f t="shared" si="62"/>
        <v>#DIV/0!</v>
      </c>
      <c r="BO37" s="726">
        <f t="shared" si="63"/>
        <v>0</v>
      </c>
      <c r="BP37" s="726" t="e">
        <f t="shared" si="64"/>
        <v>#DIV/0!</v>
      </c>
      <c r="BQ37" s="726"/>
      <c r="BR37" s="160" t="str">
        <f t="shared" si="65"/>
        <v>No Prog ni Ejec</v>
      </c>
      <c r="BS37" s="160" t="str">
        <f t="shared" si="66"/>
        <v>No Prog ni Ejec</v>
      </c>
      <c r="BT37" s="160" t="str">
        <f t="shared" si="67"/>
        <v>No Prog ni Ejec</v>
      </c>
      <c r="BU37" s="160" t="str">
        <f t="shared" si="68"/>
        <v>No Prog ni Ejec</v>
      </c>
      <c r="BV37" s="160" t="str">
        <f t="shared" si="69"/>
        <v>No Prog ni Ejec</v>
      </c>
      <c r="BW37" s="160" t="str">
        <f t="shared" si="70"/>
        <v>No Prog ni Ejec</v>
      </c>
      <c r="BX37" s="160">
        <f t="shared" si="71"/>
        <v>0</v>
      </c>
      <c r="BY37" s="787" t="str">
        <f t="shared" si="72"/>
        <v>No Prog ni Ejec</v>
      </c>
      <c r="BZ37" s="157">
        <f t="shared" si="0"/>
        <v>0</v>
      </c>
    </row>
    <row r="38" spans="1:78" s="81" customFormat="1" ht="140.25" customHeight="1" thickBot="1" x14ac:dyDescent="0.25">
      <c r="A38" s="789">
        <v>11900</v>
      </c>
      <c r="B38" s="790" t="s">
        <v>125</v>
      </c>
      <c r="C38" s="790" t="s">
        <v>330</v>
      </c>
      <c r="D38" s="791" t="s">
        <v>1023</v>
      </c>
      <c r="E38" s="791"/>
      <c r="F38" s="792" t="s">
        <v>126</v>
      </c>
      <c r="G38" s="790" t="s">
        <v>60</v>
      </c>
      <c r="H38" s="793" t="s">
        <v>128</v>
      </c>
      <c r="I38" s="790" t="s">
        <v>342</v>
      </c>
      <c r="J38" s="792" t="s">
        <v>652</v>
      </c>
      <c r="K38" s="790" t="s">
        <v>501</v>
      </c>
      <c r="L38" s="794" t="s">
        <v>391</v>
      </c>
      <c r="M38" s="795">
        <v>1</v>
      </c>
      <c r="N38" s="792" t="s">
        <v>651</v>
      </c>
      <c r="O38" s="790" t="s">
        <v>1610</v>
      </c>
      <c r="P38" s="796">
        <v>0</v>
      </c>
      <c r="Q38" s="797">
        <v>1</v>
      </c>
      <c r="R38" s="790" t="s">
        <v>18</v>
      </c>
      <c r="S38" s="790" t="s">
        <v>24</v>
      </c>
      <c r="T38" s="790" t="s">
        <v>634</v>
      </c>
      <c r="U38" s="790" t="s">
        <v>637</v>
      </c>
      <c r="V38" s="798" t="s">
        <v>1048</v>
      </c>
      <c r="W38" s="798" t="s">
        <v>1278</v>
      </c>
      <c r="X38" s="790" t="s">
        <v>905</v>
      </c>
      <c r="Y38" s="798" t="s">
        <v>204</v>
      </c>
      <c r="Z38" s="795">
        <v>1</v>
      </c>
      <c r="AA38" s="799" t="str">
        <f t="shared" si="73"/>
        <v>Adelantar acercamientos con entidades del estado tales como la RNEC en aras de acceder a la información de los terceros deudores</v>
      </c>
      <c r="AB38" s="800">
        <f t="shared" si="74"/>
        <v>0</v>
      </c>
      <c r="AC38" s="801" t="s">
        <v>48</v>
      </c>
      <c r="AD38" s="795">
        <v>0</v>
      </c>
      <c r="AE38" s="790" t="str">
        <f t="shared" si="45"/>
        <v>Adelantar acercamientos con entidades del estado tales como la RNEC en aras de acceder a la información de los terceros deudores</v>
      </c>
      <c r="AF38" s="796">
        <v>0</v>
      </c>
      <c r="AG38" s="802">
        <v>0</v>
      </c>
      <c r="AH38" s="802">
        <v>0</v>
      </c>
      <c r="AI38" s="803" t="e">
        <f t="shared" si="46"/>
        <v>#DIV/0!</v>
      </c>
      <c r="AJ38" s="803" t="e">
        <f t="shared" si="47"/>
        <v>#DIV/0!</v>
      </c>
      <c r="AK38" s="803">
        <f t="shared" si="48"/>
        <v>0</v>
      </c>
      <c r="AL38" s="803" t="e">
        <f t="shared" si="49"/>
        <v>#DIV/0!</v>
      </c>
      <c r="AM38" s="804" t="s">
        <v>1343</v>
      </c>
      <c r="AN38" s="795">
        <v>0</v>
      </c>
      <c r="AO38" s="790" t="str">
        <f t="shared" si="50"/>
        <v>Adelantar acercamientos con entidades del estado tales como la RNEC en aras de acceder a la información de los terceros deudores</v>
      </c>
      <c r="AP38" s="796">
        <v>0</v>
      </c>
      <c r="AQ38" s="794">
        <v>0</v>
      </c>
      <c r="AR38" s="796">
        <v>0</v>
      </c>
      <c r="AS38" s="803" t="e">
        <f t="shared" si="51"/>
        <v>#DIV/0!</v>
      </c>
      <c r="AT38" s="803" t="e">
        <f t="shared" si="52"/>
        <v>#DIV/0!</v>
      </c>
      <c r="AU38" s="803">
        <f t="shared" si="53"/>
        <v>0</v>
      </c>
      <c r="AV38" s="803" t="e">
        <f t="shared" si="54"/>
        <v>#DIV/0!</v>
      </c>
      <c r="AW38" s="805" t="s">
        <v>1343</v>
      </c>
      <c r="AX38" s="795">
        <v>0</v>
      </c>
      <c r="AY38" s="790" t="str">
        <f t="shared" si="55"/>
        <v>Adelantar acercamientos con entidades del estado tales como la RNEC en aras de acceder a la información de los terceros deudores</v>
      </c>
      <c r="AZ38" s="796">
        <v>0</v>
      </c>
      <c r="BA38" s="806"/>
      <c r="BB38" s="806"/>
      <c r="BC38" s="803" t="e">
        <f t="shared" si="56"/>
        <v>#DIV/0!</v>
      </c>
      <c r="BD38" s="803" t="e">
        <f t="shared" si="57"/>
        <v>#DIV/0!</v>
      </c>
      <c r="BE38" s="803">
        <f t="shared" si="58"/>
        <v>0</v>
      </c>
      <c r="BF38" s="803" t="e">
        <f t="shared" si="59"/>
        <v>#DIV/0!</v>
      </c>
      <c r="BG38" s="803"/>
      <c r="BH38" s="795">
        <v>1</v>
      </c>
      <c r="BI38" s="790" t="str">
        <f t="shared" si="60"/>
        <v>Adelantar acercamientos con entidades del estado tales como la RNEC en aras de acceder a la información de los terceros deudores</v>
      </c>
      <c r="BJ38" s="796">
        <v>0</v>
      </c>
      <c r="BK38" s="806"/>
      <c r="BL38" s="806"/>
      <c r="BM38" s="807">
        <f t="shared" si="61"/>
        <v>0</v>
      </c>
      <c r="BN38" s="807" t="e">
        <f t="shared" si="62"/>
        <v>#DIV/0!</v>
      </c>
      <c r="BO38" s="807">
        <f t="shared" si="63"/>
        <v>0</v>
      </c>
      <c r="BP38" s="807" t="e">
        <f t="shared" si="64"/>
        <v>#DIV/0!</v>
      </c>
      <c r="BQ38" s="807"/>
      <c r="BR38" s="808" t="str">
        <f t="shared" si="65"/>
        <v>No Prog ni Ejec</v>
      </c>
      <c r="BS38" s="808" t="str">
        <f t="shared" si="66"/>
        <v>No Prog ni Ejec</v>
      </c>
      <c r="BT38" s="808" t="str">
        <f t="shared" si="67"/>
        <v>No Prog ni Ejec</v>
      </c>
      <c r="BU38" s="808" t="str">
        <f t="shared" si="68"/>
        <v>No Prog ni Ejec</v>
      </c>
      <c r="BV38" s="808" t="str">
        <f t="shared" si="69"/>
        <v>No Prog ni Ejec</v>
      </c>
      <c r="BW38" s="808" t="str">
        <f t="shared" si="70"/>
        <v>No Prog ni Ejec</v>
      </c>
      <c r="BX38" s="808">
        <f t="shared" si="71"/>
        <v>0</v>
      </c>
      <c r="BY38" s="809" t="str">
        <f t="shared" si="72"/>
        <v>No Prog ni Ejec</v>
      </c>
      <c r="BZ38" s="157">
        <f t="shared" si="0"/>
        <v>0</v>
      </c>
    </row>
    <row r="39" spans="1:78" s="81" customFormat="1" ht="12.75" x14ac:dyDescent="0.2">
      <c r="C39" s="151"/>
      <c r="D39" s="151"/>
      <c r="E39" s="151"/>
      <c r="L39" s="151"/>
    </row>
    <row r="40" spans="1:78" s="81" customFormat="1" ht="38.25" customHeight="1" x14ac:dyDescent="0.2">
      <c r="A40" s="1031" t="s">
        <v>1611</v>
      </c>
      <c r="B40" s="1031"/>
      <c r="C40" s="1031"/>
      <c r="D40" s="1031"/>
      <c r="E40" s="1031"/>
      <c r="F40" s="1031"/>
      <c r="G40" s="1031"/>
      <c r="H40" s="1031"/>
      <c r="I40" s="1031"/>
      <c r="J40" s="1031"/>
      <c r="K40" s="1031"/>
      <c r="L40" s="1031"/>
      <c r="M40" s="1031"/>
      <c r="N40" s="1031"/>
      <c r="O40" s="22"/>
      <c r="P40" s="155"/>
      <c r="Q40" s="22"/>
      <c r="R40" s="22"/>
      <c r="S40" s="22"/>
      <c r="T40" s="22"/>
      <c r="U40" s="22"/>
      <c r="V40" s="22"/>
      <c r="W40" s="22"/>
      <c r="X40" s="22"/>
      <c r="Y40" s="22"/>
      <c r="Z40" s="22"/>
      <c r="AA40" s="22"/>
      <c r="AB40" s="22"/>
      <c r="AC40" s="22"/>
    </row>
    <row r="41" spans="1:78" s="81" customFormat="1" ht="12.75" x14ac:dyDescent="0.2">
      <c r="A41" s="22"/>
      <c r="B41" s="22"/>
      <c r="C41" s="144"/>
      <c r="D41" s="144"/>
      <c r="E41" s="144"/>
      <c r="F41" s="22"/>
      <c r="G41" s="22"/>
      <c r="H41" s="22"/>
      <c r="I41" s="22"/>
      <c r="J41" s="22"/>
      <c r="K41" s="22"/>
      <c r="L41" s="144"/>
      <c r="M41" s="22"/>
      <c r="N41" s="22"/>
      <c r="O41" s="22"/>
      <c r="P41" s="22"/>
      <c r="Q41" s="22"/>
      <c r="R41" s="22"/>
      <c r="S41" s="22"/>
      <c r="T41" s="22"/>
      <c r="U41" s="22"/>
      <c r="V41" s="22"/>
      <c r="W41" s="22"/>
      <c r="X41" s="22"/>
      <c r="Y41" s="22"/>
      <c r="Z41" s="22"/>
      <c r="AA41" s="22"/>
      <c r="AB41" s="158"/>
      <c r="AC41" s="22"/>
    </row>
    <row r="42" spans="1:78" s="81" customFormat="1" ht="12.75" x14ac:dyDescent="0.2">
      <c r="A42" s="22"/>
      <c r="B42" s="22"/>
      <c r="C42" s="144"/>
      <c r="D42" s="144"/>
      <c r="E42" s="144"/>
      <c r="F42" s="22"/>
      <c r="G42" s="22"/>
      <c r="H42" s="22"/>
      <c r="I42" s="22"/>
      <c r="J42" s="22"/>
      <c r="K42" s="22"/>
      <c r="L42" s="144"/>
      <c r="M42" s="22"/>
      <c r="N42" s="22"/>
      <c r="O42" s="22"/>
      <c r="P42" s="22"/>
      <c r="Q42" s="22"/>
      <c r="R42" s="22"/>
      <c r="S42" s="22"/>
      <c r="T42" s="22"/>
      <c r="U42" s="22"/>
      <c r="V42" s="22"/>
      <c r="W42" s="22"/>
      <c r="X42" s="22"/>
      <c r="Y42" s="22"/>
      <c r="Z42" s="22"/>
      <c r="AA42" s="22"/>
      <c r="AB42" s="22"/>
      <c r="AC42" s="22"/>
    </row>
    <row r="43" spans="1:78" s="81" customFormat="1" ht="12.75" x14ac:dyDescent="0.2">
      <c r="A43" s="22"/>
      <c r="B43" s="22"/>
      <c r="C43" s="144"/>
      <c r="D43" s="144"/>
      <c r="E43" s="144"/>
      <c r="F43" s="22"/>
      <c r="G43" s="22"/>
      <c r="H43" s="22"/>
      <c r="I43" s="22"/>
      <c r="J43" s="22"/>
      <c r="K43" s="22"/>
      <c r="L43" s="144"/>
      <c r="M43" s="22"/>
      <c r="N43" s="22"/>
      <c r="O43" s="22"/>
      <c r="P43" s="22"/>
      <c r="Q43" s="22"/>
      <c r="R43" s="22"/>
      <c r="S43" s="22"/>
      <c r="T43" s="22"/>
      <c r="U43" s="22"/>
      <c r="V43" s="22"/>
      <c r="W43" s="22"/>
      <c r="X43" s="22"/>
      <c r="Y43" s="22"/>
      <c r="Z43" s="22"/>
      <c r="AA43" s="22"/>
      <c r="AB43" s="22"/>
      <c r="AC43" s="22"/>
    </row>
    <row r="44" spans="1:78" s="81" customFormat="1" ht="12.75" x14ac:dyDescent="0.2">
      <c r="A44" s="22"/>
      <c r="B44" s="22"/>
      <c r="C44" s="144"/>
      <c r="D44" s="144"/>
      <c r="E44" s="144"/>
      <c r="F44" s="22"/>
      <c r="G44" s="22"/>
      <c r="H44" s="22"/>
      <c r="I44" s="22"/>
      <c r="J44" s="22"/>
      <c r="K44" s="22"/>
      <c r="L44" s="144"/>
      <c r="M44" s="22"/>
      <c r="N44" s="22"/>
      <c r="O44" s="22"/>
      <c r="P44" s="22"/>
      <c r="Q44" s="22"/>
      <c r="R44" s="22"/>
      <c r="S44" s="22"/>
      <c r="T44" s="22"/>
      <c r="U44" s="22"/>
      <c r="V44" s="22"/>
      <c r="W44" s="22"/>
      <c r="X44" s="22"/>
      <c r="Y44" s="22"/>
      <c r="Z44" s="22"/>
      <c r="AA44" s="22"/>
      <c r="AB44" s="22"/>
      <c r="AC44" s="22"/>
    </row>
    <row r="45" spans="1:78" s="81" customFormat="1" ht="12.75" x14ac:dyDescent="0.2">
      <c r="A45" s="22"/>
      <c r="B45" s="22"/>
      <c r="C45" s="144"/>
      <c r="D45" s="144"/>
      <c r="E45" s="144"/>
      <c r="F45" s="22"/>
      <c r="G45" s="22"/>
      <c r="H45" s="22"/>
      <c r="I45" s="22"/>
      <c r="J45" s="22"/>
      <c r="K45" s="22"/>
      <c r="L45" s="144"/>
      <c r="M45" s="22"/>
      <c r="N45" s="22"/>
      <c r="O45" s="22"/>
      <c r="P45" s="22"/>
      <c r="Q45" s="22"/>
      <c r="R45" s="22"/>
      <c r="S45" s="22"/>
      <c r="T45" s="22"/>
      <c r="U45" s="22"/>
      <c r="V45" s="22"/>
      <c r="W45" s="22"/>
      <c r="X45" s="22"/>
      <c r="Y45" s="22"/>
      <c r="Z45" s="22"/>
      <c r="AA45" s="22"/>
      <c r="AB45" s="22"/>
      <c r="AC45" s="22"/>
    </row>
  </sheetData>
  <sheetProtection algorithmName="SHA-512" hashValue="ZVVMOz+IvE5ZZz79sE3cMUdHsFhlPPlC1v4J32Sf4dfVcnCjpvYLADEM7TpTuAJgNzxbtIzDQ1H8dVsNG0jlRg==" saltValue="HXfoDzP8GHKT2oacEEXE4Q==" spinCount="100000" sheet="1" objects="1" scenarios="1"/>
  <autoFilter ref="A8:HU38" xr:uid="{00000000-0009-0000-0000-000002000000}"/>
  <mergeCells count="153">
    <mergeCell ref="A40:N40"/>
    <mergeCell ref="U9:U13"/>
    <mergeCell ref="V9:V13"/>
    <mergeCell ref="W9:W13"/>
    <mergeCell ref="AB9:AB13"/>
    <mergeCell ref="AF9:AF13"/>
    <mergeCell ref="AH9:AH13"/>
    <mergeCell ref="AJ9:AJ13"/>
    <mergeCell ref="AL9:AL13"/>
    <mergeCell ref="K9:K13"/>
    <mergeCell ref="P9:P13"/>
    <mergeCell ref="J9:J13"/>
    <mergeCell ref="Q9:Q13"/>
    <mergeCell ref="R9:R13"/>
    <mergeCell ref="S9:S13"/>
    <mergeCell ref="T9:T13"/>
    <mergeCell ref="X22:X23"/>
    <mergeCell ref="W21:W24"/>
    <mergeCell ref="AL21:AL24"/>
    <mergeCell ref="AJ21:AJ24"/>
    <mergeCell ref="AG22:AG23"/>
    <mergeCell ref="AI22:AI23"/>
    <mergeCell ref="O21:O24"/>
    <mergeCell ref="P21:P24"/>
    <mergeCell ref="BU9:BU13"/>
    <mergeCell ref="BW9:BW13"/>
    <mergeCell ref="BY9:BY13"/>
    <mergeCell ref="S7:S8"/>
    <mergeCell ref="AA7:AA8"/>
    <mergeCell ref="BJ9:BJ13"/>
    <mergeCell ref="BL12:BL13"/>
    <mergeCell ref="BN9:BN13"/>
    <mergeCell ref="BP9:BP13"/>
    <mergeCell ref="BS9:BS13"/>
    <mergeCell ref="AE9:AE12"/>
    <mergeCell ref="Y9:Y12"/>
    <mergeCell ref="AA9:AA12"/>
    <mergeCell ref="AY9:AY12"/>
    <mergeCell ref="BI9:BI12"/>
    <mergeCell ref="AO9:AO12"/>
    <mergeCell ref="AP9:AP13"/>
    <mergeCell ref="AR9:AR13"/>
    <mergeCell ref="AZ9:AZ13"/>
    <mergeCell ref="BB12:BB13"/>
    <mergeCell ref="BD9:BD13"/>
    <mergeCell ref="BF9:BF13"/>
    <mergeCell ref="AC7:AC8"/>
    <mergeCell ref="BY21:BY24"/>
    <mergeCell ref="BR22:BR23"/>
    <mergeCell ref="BS21:BS24"/>
    <mergeCell ref="BT22:BT23"/>
    <mergeCell ref="BU21:BU24"/>
    <mergeCell ref="BV22:BV23"/>
    <mergeCell ref="BL21:BL24"/>
    <mergeCell ref="BM22:BM23"/>
    <mergeCell ref="BN21:BN24"/>
    <mergeCell ref="BO22:BO23"/>
    <mergeCell ref="BP21:BP24"/>
    <mergeCell ref="BW21:BW24"/>
    <mergeCell ref="BX22:BX23"/>
    <mergeCell ref="BE22:BE23"/>
    <mergeCell ref="BF21:BF24"/>
    <mergeCell ref="BI21:BI24"/>
    <mergeCell ref="BJ21:BJ24"/>
    <mergeCell ref="BK22:BK23"/>
    <mergeCell ref="AX22:AX23"/>
    <mergeCell ref="BH22:BH23"/>
    <mergeCell ref="AH21:AH24"/>
    <mergeCell ref="AK22:AK23"/>
    <mergeCell ref="AP21:AP24"/>
    <mergeCell ref="AR21:AR24"/>
    <mergeCell ref="AS22:AS23"/>
    <mergeCell ref="AT21:AT24"/>
    <mergeCell ref="AU22:AU23"/>
    <mergeCell ref="AV21:AV24"/>
    <mergeCell ref="AY21:AY24"/>
    <mergeCell ref="AZ21:AZ24"/>
    <mergeCell ref="BA22:BA23"/>
    <mergeCell ref="BB21:BB24"/>
    <mergeCell ref="BC22:BC23"/>
    <mergeCell ref="BD21:BD24"/>
    <mergeCell ref="AQ22:AQ23"/>
    <mergeCell ref="AN22:AN23"/>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Y7:Y8"/>
    <mergeCell ref="Z7:Z8"/>
    <mergeCell ref="H7:H8"/>
    <mergeCell ref="I7:I8"/>
    <mergeCell ref="J7:J8"/>
    <mergeCell ref="K7:K8"/>
    <mergeCell ref="L7:L8"/>
    <mergeCell ref="AB7:AB8"/>
    <mergeCell ref="A21:A24"/>
    <mergeCell ref="C21:C24"/>
    <mergeCell ref="F21:F24"/>
    <mergeCell ref="G21:G24"/>
    <mergeCell ref="H21:H24"/>
    <mergeCell ref="N21:N24"/>
    <mergeCell ref="O9:O12"/>
    <mergeCell ref="I21:I24"/>
    <mergeCell ref="M22:M23"/>
    <mergeCell ref="L22:L23"/>
    <mergeCell ref="N9:N12"/>
    <mergeCell ref="Z22:Z23"/>
    <mergeCell ref="O7:O8"/>
    <mergeCell ref="F7:F8"/>
    <mergeCell ref="G7:G8"/>
    <mergeCell ref="D7:E7"/>
    <mergeCell ref="AO21:AO24"/>
    <mergeCell ref="AE21:AE24"/>
    <mergeCell ref="AD22:AD23"/>
    <mergeCell ref="AW22:AW23"/>
    <mergeCell ref="AF21:AF24"/>
    <mergeCell ref="Q21:Q24"/>
    <mergeCell ref="R21:R24"/>
    <mergeCell ref="S21:S24"/>
    <mergeCell ref="T21:T24"/>
    <mergeCell ref="U21:U24"/>
    <mergeCell ref="V21:V24"/>
    <mergeCell ref="Y21:Y24"/>
    <mergeCell ref="AA21:AA24"/>
    <mergeCell ref="AB21:AB24"/>
    <mergeCell ref="AM22:AM23"/>
    <mergeCell ref="A7:A8"/>
    <mergeCell ref="B7:B8"/>
    <mergeCell ref="C7:C8"/>
    <mergeCell ref="P7:P8"/>
    <mergeCell ref="Q7:Q8"/>
    <mergeCell ref="R7:R8"/>
    <mergeCell ref="AT9:AT13"/>
    <mergeCell ref="AV9:AV13"/>
    <mergeCell ref="N7:N8"/>
    <mergeCell ref="W7:W8"/>
    <mergeCell ref="T7:T8"/>
    <mergeCell ref="U7:U8"/>
    <mergeCell ref="V7:V8"/>
    <mergeCell ref="X7:X8"/>
    <mergeCell ref="M7:M8"/>
  </mergeCells>
  <conditionalFormatting sqref="BR26:BY38">
    <cfRule type="cellIs" dxfId="13004" priority="73" operator="equal">
      <formula>#REF!</formula>
    </cfRule>
    <cfRule type="cellIs" dxfId="13003" priority="74" operator="greaterThan">
      <formula>1</formula>
    </cfRule>
    <cfRule type="cellIs" dxfId="13002" priority="75" operator="equal">
      <formula>100%</formula>
    </cfRule>
    <cfRule type="cellIs" dxfId="13001" priority="76" operator="between">
      <formula>80%</formula>
      <formula>99%</formula>
    </cfRule>
    <cfRule type="cellIs" dxfId="13000" priority="77" operator="between">
      <formula>0%</formula>
      <formula>79%</formula>
    </cfRule>
  </conditionalFormatting>
  <conditionalFormatting sqref="BR25:BY25">
    <cfRule type="cellIs" dxfId="12999" priority="67" operator="equal">
      <formula>#REF!</formula>
    </cfRule>
    <cfRule type="cellIs" dxfId="12998" priority="68" operator="greaterThan">
      <formula>1</formula>
    </cfRule>
    <cfRule type="cellIs" dxfId="12997" priority="69" operator="equal">
      <formula>100%</formula>
    </cfRule>
    <cfRule type="cellIs" dxfId="12996" priority="70" operator="between">
      <formula>80%</formula>
      <formula>99%</formula>
    </cfRule>
    <cfRule type="cellIs" dxfId="12995" priority="71" operator="between">
      <formula>0%</formula>
      <formula>79%</formula>
    </cfRule>
  </conditionalFormatting>
  <conditionalFormatting sqref="BR18:BY20">
    <cfRule type="cellIs" dxfId="12994" priority="61" operator="equal">
      <formula>#REF!</formula>
    </cfRule>
    <cfRule type="cellIs" dxfId="12993" priority="62" operator="greaterThan">
      <formula>1</formula>
    </cfRule>
    <cfRule type="cellIs" dxfId="12992" priority="63" operator="equal">
      <formula>100%</formula>
    </cfRule>
    <cfRule type="cellIs" dxfId="12991" priority="64" operator="between">
      <formula>80%</formula>
      <formula>99%</formula>
    </cfRule>
    <cfRule type="cellIs" dxfId="12990" priority="65" operator="between">
      <formula>0%</formula>
      <formula>79%</formula>
    </cfRule>
  </conditionalFormatting>
  <conditionalFormatting sqref="BR14:BY14 BR16:BY17">
    <cfRule type="cellIs" dxfId="12989" priority="43" operator="equal">
      <formula>#REF!</formula>
    </cfRule>
    <cfRule type="cellIs" dxfId="12988" priority="44" operator="greaterThan">
      <formula>1</formula>
    </cfRule>
    <cfRule type="cellIs" dxfId="12987" priority="45" operator="equal">
      <formula>100%</formula>
    </cfRule>
    <cfRule type="cellIs" dxfId="12986" priority="46" operator="between">
      <formula>80%</formula>
      <formula>99%</formula>
    </cfRule>
    <cfRule type="cellIs" dxfId="12985" priority="47" operator="between">
      <formula>0%</formula>
      <formula>79%</formula>
    </cfRule>
  </conditionalFormatting>
  <conditionalFormatting sqref="BR15:BY15">
    <cfRule type="cellIs" dxfId="12984" priority="31" operator="equal">
      <formula>#REF!</formula>
    </cfRule>
    <cfRule type="cellIs" dxfId="12983" priority="32" operator="greaterThan">
      <formula>1</formula>
    </cfRule>
    <cfRule type="cellIs" dxfId="12982" priority="33" operator="equal">
      <formula>100%</formula>
    </cfRule>
    <cfRule type="cellIs" dxfId="12981" priority="34" operator="between">
      <formula>80%</formula>
      <formula>99%</formula>
    </cfRule>
    <cfRule type="cellIs" dxfId="12980" priority="35" operator="between">
      <formula>0%</formula>
      <formula>79%</formula>
    </cfRule>
  </conditionalFormatting>
  <conditionalFormatting sqref="BR12 BT12 BV12 BX12">
    <cfRule type="cellIs" dxfId="12979" priority="25" operator="equal">
      <formula>#REF!</formula>
    </cfRule>
    <cfRule type="cellIs" dxfId="12978" priority="26" operator="greaterThan">
      <formula>1</formula>
    </cfRule>
    <cfRule type="cellIs" dxfId="12977" priority="27" operator="equal">
      <formula>100%</formula>
    </cfRule>
    <cfRule type="cellIs" dxfId="12976" priority="28" operator="between">
      <formula>80%</formula>
      <formula>99%</formula>
    </cfRule>
    <cfRule type="cellIs" dxfId="12975" priority="29" operator="between">
      <formula>0%</formula>
      <formula>79%</formula>
    </cfRule>
  </conditionalFormatting>
  <conditionalFormatting sqref="BR9:BY11">
    <cfRule type="cellIs" dxfId="12974" priority="19" operator="equal">
      <formula>#REF!</formula>
    </cfRule>
    <cfRule type="cellIs" dxfId="12973" priority="20" operator="greaterThan">
      <formula>1</formula>
    </cfRule>
    <cfRule type="cellIs" dxfId="12972" priority="21" operator="equal">
      <formula>100%</formula>
    </cfRule>
    <cfRule type="cellIs" dxfId="12971" priority="22" operator="between">
      <formula>80%</formula>
      <formula>99%</formula>
    </cfRule>
    <cfRule type="cellIs" dxfId="12970" priority="23" operator="between">
      <formula>0%</formula>
      <formula>79%</formula>
    </cfRule>
  </conditionalFormatting>
  <conditionalFormatting sqref="BR21:BY21">
    <cfRule type="cellIs" dxfId="12969" priority="13" operator="equal">
      <formula>#REF!</formula>
    </cfRule>
    <cfRule type="cellIs" dxfId="12968" priority="14" operator="greaterThan">
      <formula>1</formula>
    </cfRule>
    <cfRule type="cellIs" dxfId="12967" priority="15" operator="equal">
      <formula>100%</formula>
    </cfRule>
    <cfRule type="cellIs" dxfId="12966" priority="16" operator="between">
      <formula>80%</formula>
      <formula>99%</formula>
    </cfRule>
    <cfRule type="cellIs" dxfId="12965" priority="17" operator="between">
      <formula>0%</formula>
      <formula>79%</formula>
    </cfRule>
  </conditionalFormatting>
  <conditionalFormatting sqref="BR22 BR24 BT22 BT24 BV22 BV24 BX22 BX24">
    <cfRule type="cellIs" dxfId="12964" priority="7" operator="equal">
      <formula>#REF!</formula>
    </cfRule>
    <cfRule type="cellIs" dxfId="12963" priority="8" operator="greaterThan">
      <formula>1</formula>
    </cfRule>
    <cfRule type="cellIs" dxfId="12962" priority="9" operator="equal">
      <formula>100%</formula>
    </cfRule>
    <cfRule type="cellIs" dxfId="12961" priority="10" operator="between">
      <formula>80%</formula>
      <formula>99%</formula>
    </cfRule>
    <cfRule type="cellIs" dxfId="12960" priority="11" operator="between">
      <formula>0%</formula>
      <formula>79%</formula>
    </cfRule>
  </conditionalFormatting>
  <conditionalFormatting sqref="BR13 BT13 BV13 BX13">
    <cfRule type="cellIs" dxfId="12959" priority="1" operator="equal">
      <formula>#REF!</formula>
    </cfRule>
    <cfRule type="cellIs" dxfId="12958" priority="2" operator="greaterThan">
      <formula>1</formula>
    </cfRule>
    <cfRule type="cellIs" dxfId="12957" priority="3" operator="equal">
      <formula>100%</formula>
    </cfRule>
    <cfRule type="cellIs" dxfId="12956" priority="4" operator="between">
      <formula>80%</formula>
      <formula>99%</formula>
    </cfRule>
    <cfRule type="cellIs" dxfId="12955"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8" operator="containsText" id="{40C1699A-788C-4C04-ABFA-880EB4297438}">
            <xm:f>NOT(ISERROR(SEARCH(#REF!,BR26)))</xm:f>
            <xm:f>#REF!</xm:f>
            <x14:dxf>
              <font>
                <color theme="4"/>
              </font>
              <fill>
                <patternFill>
                  <bgColor theme="5" tint="0.59996337778862885"/>
                </patternFill>
              </fill>
            </x14:dxf>
          </x14:cfRule>
          <xm:sqref>BR26:BY38</xm:sqref>
        </x14:conditionalFormatting>
        <x14:conditionalFormatting xmlns:xm="http://schemas.microsoft.com/office/excel/2006/main">
          <x14:cfRule type="containsText" priority="72" operator="containsText" id="{5797B5AC-3405-43E8-815D-19E7DC918295}">
            <xm:f>NOT(ISERROR(SEARCH(#REF!,BR25)))</xm:f>
            <xm:f>#REF!</xm:f>
            <x14:dxf>
              <font>
                <color theme="4"/>
              </font>
              <fill>
                <patternFill>
                  <bgColor theme="5" tint="0.59996337778862885"/>
                </patternFill>
              </fill>
            </x14:dxf>
          </x14:cfRule>
          <xm:sqref>BR25:BY25</xm:sqref>
        </x14:conditionalFormatting>
        <x14:conditionalFormatting xmlns:xm="http://schemas.microsoft.com/office/excel/2006/main">
          <x14:cfRule type="containsText" priority="48" operator="containsText" id="{BE7CCC8B-D1B9-423D-A41C-FC34562F39A6}">
            <xm:f>NOT(ISERROR(SEARCH(#REF!,BR14)))</xm:f>
            <xm:f>#REF!</xm:f>
            <x14:dxf>
              <font>
                <color theme="4"/>
              </font>
              <fill>
                <patternFill>
                  <bgColor theme="5" tint="0.59996337778862885"/>
                </patternFill>
              </fill>
            </x14:dxf>
          </x14:cfRule>
          <xm:sqref>BR14:BY14 BR16:BY20</xm:sqref>
        </x14:conditionalFormatting>
        <x14:conditionalFormatting xmlns:xm="http://schemas.microsoft.com/office/excel/2006/main">
          <x14:cfRule type="containsText" priority="36" operator="containsText" id="{2CFE06A9-70B2-4BE9-98BC-EC60EEB83DE2}">
            <xm:f>NOT(ISERROR(SEARCH(#REF!,BR15)))</xm:f>
            <xm:f>#REF!</xm:f>
            <x14:dxf>
              <font>
                <color theme="4"/>
              </font>
              <fill>
                <patternFill>
                  <bgColor theme="5" tint="0.59996337778862885"/>
                </patternFill>
              </fill>
            </x14:dxf>
          </x14:cfRule>
          <xm:sqref>BR15:BY15</xm:sqref>
        </x14:conditionalFormatting>
        <x14:conditionalFormatting xmlns:xm="http://schemas.microsoft.com/office/excel/2006/main">
          <x14:cfRule type="containsText" priority="30" operator="containsText" id="{2437D06A-5C77-4D45-A774-EB38D1FC7375}">
            <xm:f>NOT(ISERROR(SEARCH(#REF!,BR12)))</xm:f>
            <xm:f>#REF!</xm:f>
            <x14:dxf>
              <font>
                <color theme="4"/>
              </font>
              <fill>
                <patternFill>
                  <bgColor theme="5" tint="0.59996337778862885"/>
                </patternFill>
              </fill>
            </x14:dxf>
          </x14:cfRule>
          <xm:sqref>BR12 BT12 BV12 BX12</xm:sqref>
        </x14:conditionalFormatting>
        <x14:conditionalFormatting xmlns:xm="http://schemas.microsoft.com/office/excel/2006/main">
          <x14:cfRule type="containsText" priority="24" operator="containsText" id="{41260370-EEBD-4BA7-8969-51A558D07CE2}">
            <xm:f>NOT(ISERROR(SEARCH(#REF!,BR9)))</xm:f>
            <xm:f>#REF!</xm:f>
            <x14:dxf>
              <font>
                <color theme="4"/>
              </font>
              <fill>
                <patternFill>
                  <bgColor theme="5" tint="0.59996337778862885"/>
                </patternFill>
              </fill>
            </x14:dxf>
          </x14:cfRule>
          <xm:sqref>BR9:BY11</xm:sqref>
        </x14:conditionalFormatting>
        <x14:conditionalFormatting xmlns:xm="http://schemas.microsoft.com/office/excel/2006/main">
          <x14:cfRule type="containsText" priority="18" operator="containsText" id="{97DDFBC4-E065-46AD-827D-EEE65459992E}">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12" operator="containsText" id="{D89EEE73-8695-4895-91C8-B9C8C3AF952D}">
            <xm:f>NOT(ISERROR(SEARCH(#REF!,BR22)))</xm:f>
            <xm:f>#REF!</xm:f>
            <x14:dxf>
              <font>
                <color theme="4"/>
              </font>
              <fill>
                <patternFill>
                  <bgColor theme="5" tint="0.59996337778862885"/>
                </patternFill>
              </fill>
            </x14:dxf>
          </x14:cfRule>
          <xm:sqref>BR22 BR24 BT22 BT24 BV22 BV24 BX22 BX24</xm:sqref>
        </x14:conditionalFormatting>
        <x14:conditionalFormatting xmlns:xm="http://schemas.microsoft.com/office/excel/2006/main">
          <x14:cfRule type="containsText" priority="6" operator="containsText" id="{6C66B225-4944-4492-B7D5-2FF3F2066762}">
            <xm:f>NOT(ISERROR(SEARCH(#REF!,BR13)))</xm:f>
            <xm:f>#REF!</xm:f>
            <x14:dxf>
              <font>
                <color theme="4"/>
              </font>
              <fill>
                <patternFill>
                  <bgColor theme="5" tint="0.59996337778862885"/>
                </patternFill>
              </fill>
            </x14:dxf>
          </x14:cfRule>
          <xm:sqref>BR13 BT13 BV13 BX13</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G26:G34 G9:G20</xm:sqref>
        </x14:dataValidation>
        <x14:dataValidation type="list" allowBlank="1" showInputMessage="1" showErrorMessage="1" xr:uid="{00000000-0002-0000-0200-000002000000}">
          <x14:formula1>
            <xm:f>'TAB. REF. PA'!$D$4:$D$11</xm:f>
          </x14:formula1>
          <xm:sqref>G35:G38</xm:sqref>
        </x14:dataValidation>
        <x14:dataValidation type="list" allowBlank="1" showInputMessage="1" showErrorMessage="1" xr:uid="{00000000-0002-0000-0200-00000D000000}">
          <x14:formula1>
            <xm:f>'TAB. REF. PA'!$U$4:$U$24</xm:f>
          </x14:formula1>
          <xm:sqref>Y21 Y25</xm:sqref>
        </x14:dataValidation>
        <x14:dataValidation type="list" allowBlank="1" showInputMessage="1" showErrorMessage="1" xr:uid="{00000000-0002-0000-0200-00000C000000}">
          <x14:formula1>
            <xm:f>'TAB. REF. PA'!$X$4:$X$9</xm:f>
          </x14:formula1>
          <xm:sqref>I25:I38 I9:I21</xm:sqref>
        </x14:dataValidation>
        <x14:dataValidation type="list" allowBlank="1" showInputMessage="1" showErrorMessage="1" xr:uid="{00000000-0002-0000-0200-000006000000}">
          <x14:formula1>
            <xm:f>'TAB. REF. PA'!$J$4:$J$6</xm:f>
          </x14:formula1>
          <xm:sqref>T35:T38 T9:T11 T14:T21 T25</xm:sqref>
        </x14:dataValidation>
        <x14:dataValidation type="list" allowBlank="1" showInputMessage="1" showErrorMessage="1" xr:uid="{00000000-0002-0000-0200-000007000000}">
          <x14:formula1>
            <xm:f>'TAB. REF. PA'!$H$4:$H$21</xm:f>
          </x14:formula1>
          <xm:sqref>S35:S38 S9:S11 S14:S21</xm:sqref>
        </x14:dataValidation>
        <x14:dataValidation type="list" allowBlank="1" showInputMessage="1" showErrorMessage="1" xr:uid="{00000000-0002-0000-0200-000008000000}">
          <x14:formula1>
            <xm:f>'TAB. REF. PA'!$F$4:$F$10</xm:f>
          </x14:formula1>
          <xm:sqref>R35:R38 R9:R11 R14:R21</xm:sqref>
        </x14:dataValidation>
        <x14:dataValidation type="list" allowBlank="1" showInputMessage="1" showErrorMessage="1" xr:uid="{00000000-0002-0000-0200-000005000000}">
          <x14:formula1>
            <xm:f>'TAB. REF. PA'!$L$4:$L$11</xm:f>
          </x14:formula1>
          <xm:sqref>U35:U38 U9:U11 U14:U21 U25</xm:sqref>
        </x14:dataValidation>
        <x14:dataValidation type="list" allowBlank="1" showInputMessage="1" showErrorMessage="1" xr:uid="{00000000-0002-0000-0200-000009000000}">
          <x14:formula1>
            <xm:f>'TAB. REF. PA'!$R$4:$R$12</xm:f>
          </x14:formula1>
          <xm:sqref>C25:C38 C9:C21</xm:sqref>
        </x14:dataValidation>
        <x14:dataValidation type="list" allowBlank="1" showInputMessage="1" showErrorMessage="1" xr:uid="{00000000-0002-0000-0200-00000B000000}">
          <x14:formula1>
            <xm:f>'TAB. REF. PA'!$Y$4:$Y$14</xm:f>
          </x14:formula1>
          <xm:sqref>A25:A38 A9:A21</xm:sqref>
        </x14:dataValidation>
        <x14:dataValidation type="list" allowBlank="1" showInputMessage="1" showErrorMessage="1" xr:uid="{00000000-0002-0000-0200-000004000000}">
          <x14:formula1>
            <xm:f>'TAB. REF. PA'!$N$4:$N$28</xm:f>
          </x14:formula1>
          <xm:sqref>V33:V34 V25:V29 V18:V21</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T26:U34 R25:S34</xm:sqref>
        </x14:dataValidation>
        <x14:dataValidation type="list" allowBlank="1" showInputMessage="1" showErrorMessage="1" xr:uid="{86347974-5FA8-46F8-8927-29BC44C99594}">
          <x14:formula1>
            <xm:f>'TAB. REF. PA'!$N$4:$N$33</xm:f>
          </x14:formula1>
          <xm:sqref>V30:V32 V9:V11 V35:V38 V14:V17</xm:sqref>
        </x14:dataValidation>
        <x14:dataValidation type="list" allowBlank="1" showInputMessage="1" showErrorMessage="1" xr:uid="{5DF185E2-3002-4D16-8892-CC258B42D61F}">
          <x14:formula1>
            <xm:f>'TAB. REF. PA'!$U$4:$U$25</xm:f>
          </x14:formula1>
          <xm:sqref>Y9:Y11 Y14:Y20 Y26:Y36 Y38</xm:sqref>
        </x14:dataValidation>
        <x14:dataValidation type="list" allowBlank="1" showInputMessage="1" showErrorMessage="1" xr:uid="{00000000-0002-0000-0200-000001000000}">
          <x14:formula1>
            <xm:f>'TAB. REF. PA'!$D$4:$D$10</xm:f>
          </x14:formula1>
          <xm:sqref>G21 G25</xm:sqref>
        </x14:dataValidation>
        <x14:dataValidation type="list" allowBlank="1" showInputMessage="1" showErrorMessage="1" xr:uid="{00000000-0002-0000-0200-00000A000000}">
          <x14:formula1>
            <xm:f>'TAB. REF. PA'!$B$4:$B$14</xm:f>
          </x14:formula1>
          <xm:sqref>B9:B38</xm:sqref>
        </x14:dataValidation>
        <x14:dataValidation type="list" allowBlank="1" showInputMessage="1" showErrorMessage="1" xr:uid="{00000000-0002-0000-0200-00000E000000}">
          <x14:formula1>
            <xm:f>'TAB. REF. PA'!$W$3:$W$7</xm:f>
          </x14:formula1>
          <xm:sqref>AC9:AC38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BC5" sqref="BC5"/>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customWidth="1"/>
    <col min="16" max="16" width="11.7109375" customWidth="1"/>
    <col min="17" max="21" width="3.28515625" customWidth="1"/>
    <col min="22" max="22" width="11.7109375" customWidth="1"/>
    <col min="23" max="27" width="3.28515625" customWidth="1"/>
    <col min="28" max="28" width="3.140625" customWidth="1"/>
    <col min="29" max="29" width="17.28515625" hidden="1" customWidth="1"/>
    <col min="30" max="34" width="3.28515625" hidden="1" customWidth="1"/>
    <col min="35" max="35" width="12.85546875" hidden="1" customWidth="1"/>
    <col min="36" max="40" width="3.28515625" hidden="1" customWidth="1"/>
    <col min="41" max="41" width="2.85546875" hidden="1" customWidth="1"/>
    <col min="42" max="42" width="11.7109375" hidden="1" customWidth="1"/>
    <col min="43" max="47" width="3.28515625" hidden="1" customWidth="1"/>
    <col min="48" max="48" width="14.42578125" hidden="1" customWidth="1"/>
    <col min="49" max="53" width="3.28515625" hidden="1" customWidth="1"/>
  </cols>
  <sheetData>
    <row r="1" spans="1:53" ht="25.5" customHeight="1" x14ac:dyDescent="0.25">
      <c r="A1" s="1388"/>
      <c r="B1" s="1362" t="s">
        <v>246</v>
      </c>
      <c r="C1" s="1363"/>
      <c r="D1" s="1363"/>
      <c r="E1" s="1363"/>
      <c r="F1" s="1363"/>
      <c r="G1" s="1363"/>
      <c r="H1" s="1310"/>
      <c r="I1" s="1312" t="s">
        <v>247</v>
      </c>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93"/>
      <c r="AP1" s="1364"/>
      <c r="AQ1" s="1365"/>
      <c r="AR1" s="1365"/>
      <c r="AS1" s="1365"/>
      <c r="AT1" s="1365"/>
      <c r="AU1" s="1365"/>
      <c r="AV1" s="1365"/>
      <c r="AW1" s="1365"/>
      <c r="AX1" s="1365"/>
      <c r="AY1" s="1365"/>
      <c r="AZ1" s="1365"/>
      <c r="BA1" s="1366"/>
    </row>
    <row r="2" spans="1:53" ht="29.25" customHeight="1" x14ac:dyDescent="0.25">
      <c r="A2" s="1389"/>
      <c r="B2" s="1373" t="s">
        <v>248</v>
      </c>
      <c r="C2" s="1374"/>
      <c r="D2" s="1374"/>
      <c r="E2" s="1374"/>
      <c r="F2" s="1374"/>
      <c r="G2" s="1374"/>
      <c r="H2" s="1315"/>
      <c r="I2" s="1317" t="s">
        <v>209</v>
      </c>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94"/>
      <c r="AP2" s="1367"/>
      <c r="AQ2" s="1368"/>
      <c r="AR2" s="1368"/>
      <c r="AS2" s="1368"/>
      <c r="AT2" s="1368"/>
      <c r="AU2" s="1368"/>
      <c r="AV2" s="1368"/>
      <c r="AW2" s="1368"/>
      <c r="AX2" s="1368"/>
      <c r="AY2" s="1368"/>
      <c r="AZ2" s="1368"/>
      <c r="BA2" s="1369"/>
    </row>
    <row r="3" spans="1:53" ht="15.75" customHeight="1" thickBot="1" x14ac:dyDescent="0.3">
      <c r="A3" s="1390"/>
      <c r="B3" s="1375" t="s">
        <v>242</v>
      </c>
      <c r="C3" s="1325"/>
      <c r="D3" s="1325"/>
      <c r="E3" s="1325"/>
      <c r="F3" s="1325"/>
      <c r="G3" s="1325"/>
      <c r="H3" s="1320"/>
      <c r="I3" s="1322" t="s">
        <v>251</v>
      </c>
      <c r="J3" s="1325"/>
      <c r="K3" s="1325"/>
      <c r="L3" s="1325"/>
      <c r="M3" s="1325"/>
      <c r="N3" s="1320"/>
      <c r="O3" s="1376" t="s">
        <v>223</v>
      </c>
      <c r="P3" s="1377"/>
      <c r="Q3" s="1377"/>
      <c r="R3" s="1377"/>
      <c r="S3" s="1377"/>
      <c r="T3" s="1377"/>
      <c r="U3" s="1377"/>
      <c r="V3" s="1377"/>
      <c r="W3" s="1377"/>
      <c r="X3" s="1377"/>
      <c r="Y3" s="1377"/>
      <c r="Z3" s="1377"/>
      <c r="AA3" s="1377"/>
      <c r="AB3" s="1377"/>
      <c r="AC3" s="1377"/>
      <c r="AD3" s="1377"/>
      <c r="AE3" s="1377"/>
      <c r="AF3" s="1377"/>
      <c r="AG3" s="1377"/>
      <c r="AH3" s="1378"/>
      <c r="AI3" s="340" t="s">
        <v>249</v>
      </c>
      <c r="AJ3" s="1322">
        <v>1</v>
      </c>
      <c r="AK3" s="1325"/>
      <c r="AL3" s="1325"/>
      <c r="AM3" s="1325"/>
      <c r="AN3" s="1325"/>
      <c r="AO3" s="1395"/>
      <c r="AP3" s="1370"/>
      <c r="AQ3" s="1371"/>
      <c r="AR3" s="1371"/>
      <c r="AS3" s="1371"/>
      <c r="AT3" s="1371"/>
      <c r="AU3" s="1371"/>
      <c r="AV3" s="1371"/>
      <c r="AW3" s="1371"/>
      <c r="AX3" s="1371"/>
      <c r="AY3" s="1371"/>
      <c r="AZ3" s="1371"/>
      <c r="BA3" s="1372"/>
    </row>
    <row r="4" spans="1:53" ht="15.75" thickBot="1" x14ac:dyDescent="0.3"/>
    <row r="5" spans="1:53" ht="72.75" customHeight="1" thickBot="1" x14ac:dyDescent="0.3">
      <c r="A5" s="371" t="s">
        <v>232</v>
      </c>
      <c r="B5" s="443"/>
      <c r="C5" s="1384" t="s">
        <v>1200</v>
      </c>
      <c r="D5" s="1391"/>
      <c r="E5" s="1391"/>
      <c r="F5" s="1391"/>
      <c r="G5" s="1391"/>
      <c r="H5" s="1392"/>
      <c r="I5" s="1387" t="s">
        <v>1201</v>
      </c>
      <c r="J5" s="1383"/>
      <c r="K5" s="1383"/>
      <c r="L5" s="1383"/>
      <c r="M5" s="1383"/>
      <c r="N5" s="1383"/>
      <c r="O5" s="17"/>
      <c r="P5" s="1387" t="s">
        <v>1203</v>
      </c>
      <c r="Q5" s="1383"/>
      <c r="R5" s="1383"/>
      <c r="S5" s="1383"/>
      <c r="T5" s="1383"/>
      <c r="U5" s="1396"/>
      <c r="V5" s="1382" t="s">
        <v>1204</v>
      </c>
      <c r="W5" s="1383"/>
      <c r="X5" s="1383"/>
      <c r="Y5" s="1383"/>
      <c r="Z5" s="1383"/>
      <c r="AA5" s="1383"/>
      <c r="AB5" s="444"/>
      <c r="AC5" s="1387" t="s">
        <v>1205</v>
      </c>
      <c r="AD5" s="1383"/>
      <c r="AE5" s="1383"/>
      <c r="AF5" s="1383"/>
      <c r="AG5" s="1383"/>
      <c r="AH5" s="1396"/>
      <c r="AI5" s="1382" t="s">
        <v>1206</v>
      </c>
      <c r="AJ5" s="1383"/>
      <c r="AK5" s="1383"/>
      <c r="AL5" s="1383"/>
      <c r="AM5" s="1383"/>
      <c r="AN5" s="1383"/>
      <c r="AO5" s="444"/>
      <c r="AP5" s="1387" t="s">
        <v>1207</v>
      </c>
      <c r="AQ5" s="1383"/>
      <c r="AR5" s="1383"/>
      <c r="AS5" s="1383"/>
      <c r="AT5" s="1383"/>
      <c r="AU5" s="1396"/>
      <c r="AV5" s="1382" t="s">
        <v>1208</v>
      </c>
      <c r="AW5" s="1383"/>
      <c r="AX5" s="1383"/>
      <c r="AY5" s="1383"/>
      <c r="AZ5" s="1383"/>
      <c r="BA5" s="1383"/>
    </row>
    <row r="6" spans="1:53" ht="18" x14ac:dyDescent="0.25">
      <c r="A6" s="439" t="s">
        <v>1</v>
      </c>
      <c r="B6" s="445"/>
      <c r="C6" s="446">
        <f>AVERAGE('Cuadro Mando Integral Detallado'!L165:L175,'Cuadro Mando Integral Detallado'!L233:L236,'Cuadro Mando Integral Detallado'!L356)</f>
        <v>0.73806078147612153</v>
      </c>
      <c r="D6" s="540">
        <f t="shared" ref="D6:D14" si="0">+C6</f>
        <v>0.73806078147612153</v>
      </c>
      <c r="E6" s="532">
        <f t="shared" ref="E6:E14" si="1">+C6</f>
        <v>0.73806078147612153</v>
      </c>
      <c r="F6" s="532">
        <f t="shared" ref="F6:F14" si="2">+C6</f>
        <v>0.73806078147612153</v>
      </c>
      <c r="G6" s="532">
        <f t="shared" ref="G6:G14" si="3">+C6</f>
        <v>0.73806078147612153</v>
      </c>
      <c r="H6" s="541">
        <f t="shared" ref="H6:H14" si="4">+C6</f>
        <v>0.73806078147612153</v>
      </c>
      <c r="I6" s="446">
        <f>AVERAGE('Cuadro Mando Integral Detallado'!O165:O175,'Cuadro Mando Integral Detallado'!O233:O236,'Cuadro Mando Integral Detallado'!O356)</f>
        <v>0.18451519536903038</v>
      </c>
      <c r="J6" s="526">
        <f t="shared" ref="J6:J14" si="5">+I6</f>
        <v>0.18451519536903038</v>
      </c>
      <c r="K6" s="527">
        <f t="shared" ref="K6:K14" si="6">+I6</f>
        <v>0.18451519536903038</v>
      </c>
      <c r="L6" s="527">
        <f t="shared" ref="L6:L14" si="7">+I6</f>
        <v>0.18451519536903038</v>
      </c>
      <c r="M6" s="527">
        <f t="shared" ref="M6:M14" si="8">+I6</f>
        <v>0.18451519536903038</v>
      </c>
      <c r="N6" s="528">
        <f t="shared" ref="N6:N14" si="9">+I6</f>
        <v>0.18451519536903038</v>
      </c>
      <c r="O6" s="17"/>
      <c r="P6" s="446">
        <f>AVERAGE('Cuadro Mando Integral Detallado'!S165:S175,'Cuadro Mando Integral Detallado'!S233:S238)</f>
        <v>1</v>
      </c>
      <c r="Q6" s="388">
        <f t="shared" ref="Q6:Q14" si="10">+P6</f>
        <v>1</v>
      </c>
      <c r="R6" s="378">
        <f t="shared" ref="R6:R14" si="11">+P6</f>
        <v>1</v>
      </c>
      <c r="S6" s="378">
        <f t="shared" ref="S6:S14" si="12">+P6</f>
        <v>1</v>
      </c>
      <c r="T6" s="378">
        <f t="shared" ref="T6:T14" si="13">+P6</f>
        <v>1</v>
      </c>
      <c r="U6" s="379">
        <f t="shared" ref="U6:U14" si="14">+P6</f>
        <v>1</v>
      </c>
      <c r="V6" s="446">
        <f>AVERAGE('Cuadro Mando Integral Detallado'!V165:V175,'Cuadro Mando Integral Detallado'!V233:V238)</f>
        <v>0.43005306319343944</v>
      </c>
      <c r="W6" s="381">
        <f t="shared" ref="W6:W14" si="15">+V6</f>
        <v>0.43005306319343944</v>
      </c>
      <c r="X6" s="382">
        <f t="shared" ref="X6:X14" si="16">+V6</f>
        <v>0.43005306319343944</v>
      </c>
      <c r="Y6" s="382">
        <f t="shared" ref="Y6:Y14" si="17">+V6</f>
        <v>0.43005306319343944</v>
      </c>
      <c r="Z6" s="382">
        <f t="shared" ref="Z6:Z14" si="18">+V6</f>
        <v>0.43005306319343944</v>
      </c>
      <c r="AA6" s="383">
        <f t="shared" ref="AA6:AA13" si="19">+V6</f>
        <v>0.43005306319343944</v>
      </c>
      <c r="AB6" s="432"/>
      <c r="AC6" s="446">
        <f>AVERAGE('Cuadro Mando Integral Detallado'!Z165:Z175,'Cuadro Mando Integral Detallado'!Z233:Z236)</f>
        <v>0</v>
      </c>
      <c r="AD6" s="388">
        <f t="shared" ref="AD6:AD14" si="20">+AC6</f>
        <v>0</v>
      </c>
      <c r="AE6" s="378">
        <f t="shared" ref="AE6:AE14" si="21">+AC6</f>
        <v>0</v>
      </c>
      <c r="AF6" s="378">
        <f t="shared" ref="AF6:AF14" si="22">+AC6</f>
        <v>0</v>
      </c>
      <c r="AG6" s="378">
        <f t="shared" ref="AG6:AG14" si="23">+AC6</f>
        <v>0</v>
      </c>
      <c r="AH6" s="379">
        <f t="shared" ref="AH6:AH14" si="24">+AC6</f>
        <v>0</v>
      </c>
      <c r="AI6" s="446">
        <f>AVERAGE('Cuadro Mando Integral Detallado'!AC165:AC175,'Cuadro Mando Integral Detallado'!AC233:AC236)</f>
        <v>0.10535455861070912</v>
      </c>
      <c r="AJ6" s="388">
        <f t="shared" ref="AJ6:AJ14" si="25">+AI6</f>
        <v>0.10535455861070912</v>
      </c>
      <c r="AK6" s="382">
        <f t="shared" ref="AK6:AK14" si="26">+AI6</f>
        <v>0.10535455861070912</v>
      </c>
      <c r="AL6" s="382">
        <f t="shared" ref="AL6:AL14" si="27">+AI6</f>
        <v>0.10535455861070912</v>
      </c>
      <c r="AM6" s="382">
        <f t="shared" ref="AM6:AM14" si="28">+AI6</f>
        <v>0.10535455861070912</v>
      </c>
      <c r="AN6" s="383">
        <f t="shared" ref="AN6:AN14" si="29">+AI6</f>
        <v>0.10535455861070912</v>
      </c>
      <c r="AO6" s="432"/>
      <c r="AP6" s="446">
        <f>AVERAGE('Cuadro Mando Integral Detallado'!AG165:AG175,'Cuadro Mando Integral Detallado'!AG233:AG236)</f>
        <v>0</v>
      </c>
      <c r="AQ6" s="388">
        <f t="shared" ref="AQ6:AQ14" si="30">+AP6</f>
        <v>0</v>
      </c>
      <c r="AR6" s="378">
        <f t="shared" ref="AR6:AR14" si="31">+AP6</f>
        <v>0</v>
      </c>
      <c r="AS6" s="378">
        <f t="shared" ref="AS6:AS14" si="32">+AP6</f>
        <v>0</v>
      </c>
      <c r="AT6" s="378">
        <f t="shared" ref="AT6:AT14" si="33">+AP6</f>
        <v>0</v>
      </c>
      <c r="AU6" s="379">
        <f t="shared" ref="AU6:AU14" si="34">+AP6</f>
        <v>0</v>
      </c>
      <c r="AV6" s="446">
        <f>AVERAGE('Cuadro Mando Integral Detallado'!AI165:AI175,'Cuadro Mando Integral Detallado'!AI233:AI236)</f>
        <v>0.13232401944413522</v>
      </c>
      <c r="AW6" s="388">
        <f>+AV6</f>
        <v>0.13232401944413522</v>
      </c>
      <c r="AX6" s="382">
        <f t="shared" ref="AX6:AX13" si="35">+AV6</f>
        <v>0.13232401944413522</v>
      </c>
      <c r="AY6" s="382">
        <f t="shared" ref="AY6:AY14" si="36">+AV6</f>
        <v>0.13232401944413522</v>
      </c>
      <c r="AZ6" s="382">
        <f t="shared" ref="AZ6:AZ14" si="37">+AV6</f>
        <v>0.13232401944413522</v>
      </c>
      <c r="BA6" s="383">
        <f t="shared" ref="BA6:BA14" si="38">+AV6</f>
        <v>0.13232401944413522</v>
      </c>
    </row>
    <row r="7" spans="1:53" ht="36" x14ac:dyDescent="0.25">
      <c r="A7" s="390" t="s">
        <v>229</v>
      </c>
      <c r="B7" s="445"/>
      <c r="C7" s="447">
        <f>AVERAGE('Cuadro Mando Integral Detallado'!L156:L158,'Cuadro Mando Integral Detallado'!L216:L217,'Cuadro Mando Integral Detallado'!L239:L240)</f>
        <v>0.99987501698138848</v>
      </c>
      <c r="D7" s="402">
        <f t="shared" si="0"/>
        <v>0.99987501698138848</v>
      </c>
      <c r="E7" s="393">
        <f t="shared" si="1"/>
        <v>0.99987501698138848</v>
      </c>
      <c r="F7" s="393">
        <f t="shared" si="2"/>
        <v>0.99987501698138848</v>
      </c>
      <c r="G7" s="393">
        <f t="shared" si="3"/>
        <v>0.99987501698138848</v>
      </c>
      <c r="H7" s="394">
        <f t="shared" si="4"/>
        <v>0.99987501698138848</v>
      </c>
      <c r="I7" s="447">
        <f>AVERAGE('Cuadro Mando Integral Detallado'!O156:O158,'Cuadro Mando Integral Detallado'!O216:O217,'Cuadro Mando Integral Detallado'!O239:O240)</f>
        <v>0.24996875424534712</v>
      </c>
      <c r="J7" s="396">
        <f t="shared" si="5"/>
        <v>0.24996875424534712</v>
      </c>
      <c r="K7" s="397">
        <f t="shared" si="6"/>
        <v>0.24996875424534712</v>
      </c>
      <c r="L7" s="397">
        <f t="shared" si="7"/>
        <v>0.24996875424534712</v>
      </c>
      <c r="M7" s="397">
        <f t="shared" si="8"/>
        <v>0.24996875424534712</v>
      </c>
      <c r="N7" s="398">
        <f t="shared" si="9"/>
        <v>0.24996875424534712</v>
      </c>
      <c r="O7" s="11"/>
      <c r="P7" s="447">
        <f>AVERAGE('Cuadro Mando Integral Detallado'!S156:S158,'Cuadro Mando Integral Detallado'!S216:S217,'Cuadro Mando Integral Detallado'!S239:S240)</f>
        <v>0.99996602279870217</v>
      </c>
      <c r="Q7" s="402">
        <f t="shared" si="10"/>
        <v>0.99996602279870217</v>
      </c>
      <c r="R7" s="393">
        <f t="shared" si="11"/>
        <v>0.99996602279870217</v>
      </c>
      <c r="S7" s="393">
        <f t="shared" si="12"/>
        <v>0.99996602279870217</v>
      </c>
      <c r="T7" s="393">
        <f t="shared" si="13"/>
        <v>0.99996602279870217</v>
      </c>
      <c r="U7" s="394">
        <f t="shared" si="14"/>
        <v>0.99996602279870217</v>
      </c>
      <c r="V7" s="447">
        <f>AVERAGE('Cuadro Mando Integral Detallado'!V156:V158,'Cuadro Mando Integral Detallado'!V216:V217,'Cuadro Mando Integral Detallado'!V239:V240)</f>
        <v>0.47218768979302034</v>
      </c>
      <c r="W7" s="396">
        <f t="shared" si="15"/>
        <v>0.47218768979302034</v>
      </c>
      <c r="X7" s="397">
        <f t="shared" si="16"/>
        <v>0.47218768979302034</v>
      </c>
      <c r="Y7" s="397">
        <f t="shared" si="17"/>
        <v>0.47218768979302034</v>
      </c>
      <c r="Z7" s="397">
        <f t="shared" si="18"/>
        <v>0.47218768979302034</v>
      </c>
      <c r="AA7" s="398">
        <f t="shared" si="19"/>
        <v>0.47218768979302034</v>
      </c>
      <c r="AB7" s="432"/>
      <c r="AC7" s="447">
        <f>AVERAGE('Cuadro Mando Integral Detallado'!Z156:Z158,'Cuadro Mando Integral Detallado'!Z216:Z217,'Cuadro Mando Integral Detallado'!Z239:Z240)</f>
        <v>0</v>
      </c>
      <c r="AD7" s="402">
        <f t="shared" si="20"/>
        <v>0</v>
      </c>
      <c r="AE7" s="393">
        <f t="shared" si="21"/>
        <v>0</v>
      </c>
      <c r="AF7" s="393">
        <f t="shared" si="22"/>
        <v>0</v>
      </c>
      <c r="AG7" s="393">
        <f t="shared" si="23"/>
        <v>0</v>
      </c>
      <c r="AH7" s="394">
        <f t="shared" si="24"/>
        <v>0</v>
      </c>
      <c r="AI7" s="447">
        <f>AVERAGE('Cuadro Mando Integral Detallado'!AC156:AC158,'Cuadro Mando Integral Detallado'!AC216:AC217,'Cuadro Mando Integral Detallado'!AC239:AC240)</f>
        <v>0.40473230553687456</v>
      </c>
      <c r="AJ7" s="402">
        <f t="shared" si="25"/>
        <v>0.40473230553687456</v>
      </c>
      <c r="AK7" s="397">
        <f t="shared" si="26"/>
        <v>0.40473230553687456</v>
      </c>
      <c r="AL7" s="397">
        <f t="shared" si="27"/>
        <v>0.40473230553687456</v>
      </c>
      <c r="AM7" s="397">
        <f t="shared" si="28"/>
        <v>0.40473230553687456</v>
      </c>
      <c r="AN7" s="398">
        <f t="shared" si="29"/>
        <v>0.40473230553687456</v>
      </c>
      <c r="AO7" s="432"/>
      <c r="AP7" s="447">
        <f>AVERAGE('Cuadro Mando Integral Detallado'!AG156:AG158,'Cuadro Mando Integral Detallado'!AG216:AG217,'Cuadro Mando Integral Detallado'!AG239:AG240)</f>
        <v>0</v>
      </c>
      <c r="AQ7" s="402">
        <f t="shared" si="30"/>
        <v>0</v>
      </c>
      <c r="AR7" s="393">
        <f t="shared" si="31"/>
        <v>0</v>
      </c>
      <c r="AS7" s="393">
        <f t="shared" si="32"/>
        <v>0</v>
      </c>
      <c r="AT7" s="393">
        <f t="shared" si="33"/>
        <v>0</v>
      </c>
      <c r="AU7" s="394">
        <f t="shared" si="34"/>
        <v>0</v>
      </c>
      <c r="AV7" s="447">
        <f>AVERAGE('Cuadro Mando Integral Detallado'!AI156:AI158,'Cuadro Mando Integral Detallado'!AI216:AI217,'Cuadro Mando Integral Detallado'!AI239:AI240)</f>
        <v>0.40473230553687456</v>
      </c>
      <c r="AW7" s="402">
        <f t="shared" ref="AW7:AW14" si="39">+AV7</f>
        <v>0.40473230553687456</v>
      </c>
      <c r="AX7" s="397">
        <f t="shared" si="35"/>
        <v>0.40473230553687456</v>
      </c>
      <c r="AY7" s="397">
        <f t="shared" si="36"/>
        <v>0.40473230553687456</v>
      </c>
      <c r="AZ7" s="397">
        <f t="shared" si="37"/>
        <v>0.40473230553687456</v>
      </c>
      <c r="BA7" s="398">
        <f t="shared" si="38"/>
        <v>0.40473230553687456</v>
      </c>
    </row>
    <row r="8" spans="1:53" ht="36" x14ac:dyDescent="0.25">
      <c r="A8" s="390" t="s">
        <v>12</v>
      </c>
      <c r="B8" s="445"/>
      <c r="C8" s="447">
        <f>AVERAGE('Cuadro Mando Integral Detallado'!L145:L151,'Cuadro Mando Integral Detallado'!L200,'Cuadro Mando Integral Detallado'!L207:L209,'Cuadro Mando Integral Detallado'!L302)</f>
        <v>0.88721351785088942</v>
      </c>
      <c r="D8" s="402">
        <f>+C8</f>
        <v>0.88721351785088942</v>
      </c>
      <c r="E8" s="393">
        <f t="shared" si="1"/>
        <v>0.88721351785088942</v>
      </c>
      <c r="F8" s="393">
        <f t="shared" si="2"/>
        <v>0.88721351785088942</v>
      </c>
      <c r="G8" s="393">
        <f t="shared" si="3"/>
        <v>0.88721351785088942</v>
      </c>
      <c r="H8" s="394">
        <f t="shared" si="4"/>
        <v>0.88721351785088942</v>
      </c>
      <c r="I8" s="447">
        <f>AVERAGE('Cuadro Mando Integral Detallado'!O145:O151,'Cuadro Mando Integral Detallado'!O200,'Cuadro Mando Integral Detallado'!O207:O209,'Cuadro Mando Integral Detallado'!O302)</f>
        <v>0.22180337946272236</v>
      </c>
      <c r="J8" s="396">
        <f t="shared" si="5"/>
        <v>0.22180337946272236</v>
      </c>
      <c r="K8" s="397">
        <f t="shared" si="6"/>
        <v>0.22180337946272236</v>
      </c>
      <c r="L8" s="397">
        <f t="shared" si="7"/>
        <v>0.22180337946272236</v>
      </c>
      <c r="M8" s="397">
        <f t="shared" si="8"/>
        <v>0.22180337946272236</v>
      </c>
      <c r="N8" s="398">
        <f t="shared" si="9"/>
        <v>0.22180337946272236</v>
      </c>
      <c r="O8" s="11"/>
      <c r="P8" s="447">
        <f>AVERAGE('Cuadro Mando Integral Detallado'!S145:S151,'Cuadro Mando Integral Detallado'!S200,'Cuadro Mando Integral Detallado'!S207:S209,'Cuadro Mando Integral Detallado'!S302)</f>
        <v>0.99917452830188691</v>
      </c>
      <c r="Q8" s="402">
        <f t="shared" si="10"/>
        <v>0.99917452830188691</v>
      </c>
      <c r="R8" s="393">
        <f t="shared" si="11"/>
        <v>0.99917452830188691</v>
      </c>
      <c r="S8" s="393">
        <f t="shared" si="12"/>
        <v>0.99917452830188691</v>
      </c>
      <c r="T8" s="393">
        <f t="shared" si="13"/>
        <v>0.99917452830188691</v>
      </c>
      <c r="U8" s="394">
        <f t="shared" si="14"/>
        <v>0.99917452830188691</v>
      </c>
      <c r="V8" s="447">
        <f>AVERAGE('Cuadro Mando Integral Detallado'!V145:V151,'Cuadro Mando Integral Detallado'!V200,'Cuadro Mando Integral Detallado'!V207:V209,'Cuadro Mando Integral Detallado'!V302)</f>
        <v>0.38840278354882374</v>
      </c>
      <c r="W8" s="396">
        <f t="shared" si="15"/>
        <v>0.38840278354882374</v>
      </c>
      <c r="X8" s="397">
        <f t="shared" si="16"/>
        <v>0.38840278354882374</v>
      </c>
      <c r="Y8" s="397">
        <f t="shared" si="17"/>
        <v>0.38840278354882374</v>
      </c>
      <c r="Z8" s="397">
        <f t="shared" si="18"/>
        <v>0.38840278354882374</v>
      </c>
      <c r="AA8" s="398">
        <f t="shared" si="19"/>
        <v>0.38840278354882374</v>
      </c>
      <c r="AB8" s="436"/>
      <c r="AC8" s="943">
        <f>AVERAGE('Cuadro Mando Integral Detallado'!Z145:Z151,'Cuadro Mando Integral Detallado'!Z200,'Cuadro Mando Integral Detallado'!Z207:Z209,'Cuadro Mando Integral Detallado'!Z302)</f>
        <v>0</v>
      </c>
      <c r="AD8" s="402">
        <f t="shared" si="20"/>
        <v>0</v>
      </c>
      <c r="AE8" s="393">
        <f t="shared" si="21"/>
        <v>0</v>
      </c>
      <c r="AF8" s="393">
        <f t="shared" si="22"/>
        <v>0</v>
      </c>
      <c r="AG8" s="393">
        <f t="shared" si="23"/>
        <v>0</v>
      </c>
      <c r="AH8" s="394">
        <f t="shared" si="24"/>
        <v>0</v>
      </c>
      <c r="AI8" s="447">
        <f>AVERAGE('Cuadro Mando Integral Detallado'!AC145:AC151,'Cuadro Mando Integral Detallado'!AC200,'Cuadro Mando Integral Detallado'!AC207:AC209,'Cuadro Mando Integral Detallado'!AC302)</f>
        <v>0.38840278354882374</v>
      </c>
      <c r="AJ8" s="402">
        <f t="shared" si="25"/>
        <v>0.38840278354882374</v>
      </c>
      <c r="AK8" s="397">
        <f t="shared" si="26"/>
        <v>0.38840278354882374</v>
      </c>
      <c r="AL8" s="397">
        <f t="shared" si="27"/>
        <v>0.38840278354882374</v>
      </c>
      <c r="AM8" s="397">
        <f t="shared" si="28"/>
        <v>0.38840278354882374</v>
      </c>
      <c r="AN8" s="398">
        <f t="shared" si="29"/>
        <v>0.38840278354882374</v>
      </c>
      <c r="AO8" s="432"/>
      <c r="AP8" s="447">
        <f>AVERAGE('Cuadro Mando Integral Detallado'!AG145:AG151,'Cuadro Mando Integral Detallado'!AG200,'Cuadro Mando Integral Detallado'!AG207:AG209,'Cuadro Mando Integral Detallado'!AG302)</f>
        <v>0</v>
      </c>
      <c r="AQ8" s="402">
        <f t="shared" si="30"/>
        <v>0</v>
      </c>
      <c r="AR8" s="393">
        <f t="shared" si="31"/>
        <v>0</v>
      </c>
      <c r="AS8" s="393">
        <f t="shared" si="32"/>
        <v>0</v>
      </c>
      <c r="AT8" s="393">
        <f t="shared" si="33"/>
        <v>0</v>
      </c>
      <c r="AU8" s="394">
        <f t="shared" si="34"/>
        <v>0</v>
      </c>
      <c r="AV8" s="447">
        <f>AVERAGE('Cuadro Mando Integral Detallado'!AI145:AI151,'Cuadro Mando Integral Detallado'!AI200,'Cuadro Mando Integral Detallado'!AI207:AI209,'Cuadro Mando Integral Detallado'!AI302)</f>
        <v>0.38840278354882374</v>
      </c>
      <c r="AW8" s="402">
        <f t="shared" si="39"/>
        <v>0.38840278354882374</v>
      </c>
      <c r="AX8" s="397">
        <f t="shared" si="35"/>
        <v>0.38840278354882374</v>
      </c>
      <c r="AY8" s="397">
        <f t="shared" si="36"/>
        <v>0.38840278354882374</v>
      </c>
      <c r="AZ8" s="397">
        <f t="shared" si="37"/>
        <v>0.38840278354882374</v>
      </c>
      <c r="BA8" s="398">
        <f t="shared" si="38"/>
        <v>0.38840278354882374</v>
      </c>
    </row>
    <row r="9" spans="1:53" ht="18" x14ac:dyDescent="0.25">
      <c r="A9" s="390" t="s">
        <v>162</v>
      </c>
      <c r="B9" s="445"/>
      <c r="C9" s="447">
        <f>AVERAGE('Cuadro Mando Integral Detallado'!L131,'Cuadro Mando Integral Detallado'!L136:L140,'Cuadro Mando Integral Detallado'!L201,'Cuadro Mando Integral Detallado'!L204:L205,'Cuadro Mando Integral Detallado'!L303)</f>
        <v>0.66666819025165036</v>
      </c>
      <c r="D9" s="402">
        <f t="shared" si="0"/>
        <v>0.66666819025165036</v>
      </c>
      <c r="E9" s="393">
        <f t="shared" si="1"/>
        <v>0.66666819025165036</v>
      </c>
      <c r="F9" s="393">
        <f t="shared" si="2"/>
        <v>0.66666819025165036</v>
      </c>
      <c r="G9" s="393">
        <f t="shared" si="3"/>
        <v>0.66666819025165036</v>
      </c>
      <c r="H9" s="394">
        <f t="shared" si="4"/>
        <v>0.66666819025165036</v>
      </c>
      <c r="I9" s="447">
        <f>AVERAGE('Cuadro Mando Integral Detallado'!O131,'Cuadro Mando Integral Detallado'!O136:O140,'Cuadro Mando Integral Detallado'!O201,'Cuadro Mando Integral Detallado'!O204:O205,'Cuadro Mando Integral Detallado'!O303)</f>
        <v>0.16666704756291259</v>
      </c>
      <c r="J9" s="396">
        <f t="shared" si="5"/>
        <v>0.16666704756291259</v>
      </c>
      <c r="K9" s="397">
        <f t="shared" si="6"/>
        <v>0.16666704756291259</v>
      </c>
      <c r="L9" s="397">
        <f t="shared" si="7"/>
        <v>0.16666704756291259</v>
      </c>
      <c r="M9" s="397">
        <f t="shared" si="8"/>
        <v>0.16666704756291259</v>
      </c>
      <c r="N9" s="398">
        <f t="shared" si="9"/>
        <v>0.16666704756291259</v>
      </c>
      <c r="O9" s="11"/>
      <c r="P9" s="447">
        <f>AVERAGE('Cuadro Mando Integral Detallado'!S131:S140,'Cuadro Mando Integral Detallado'!S201:S202,'Cuadro Mando Integral Detallado'!S204:S205,'Cuadro Mando Integral Detallado'!S303)</f>
        <v>1</v>
      </c>
      <c r="Q9" s="402">
        <f t="shared" si="10"/>
        <v>1</v>
      </c>
      <c r="R9" s="393">
        <f t="shared" si="11"/>
        <v>1</v>
      </c>
      <c r="S9" s="393">
        <f t="shared" si="12"/>
        <v>1</v>
      </c>
      <c r="T9" s="393">
        <f t="shared" si="13"/>
        <v>1</v>
      </c>
      <c r="U9" s="394">
        <f t="shared" si="14"/>
        <v>1</v>
      </c>
      <c r="V9" s="447">
        <f>AVERAGE('Cuadro Mando Integral Detallado'!V131:V140,'Cuadro Mando Integral Detallado'!V201:V202,'Cuadro Mando Integral Detallado'!V204:V205,'Cuadro Mando Integral Detallado'!V303)</f>
        <v>0.37179513549227278</v>
      </c>
      <c r="W9" s="396">
        <f t="shared" si="15"/>
        <v>0.37179513549227278</v>
      </c>
      <c r="X9" s="397">
        <f t="shared" si="16"/>
        <v>0.37179513549227278</v>
      </c>
      <c r="Y9" s="397">
        <f t="shared" si="17"/>
        <v>0.37179513549227278</v>
      </c>
      <c r="Z9" s="397">
        <f t="shared" si="18"/>
        <v>0.37179513549227278</v>
      </c>
      <c r="AA9" s="398">
        <f t="shared" si="19"/>
        <v>0.37179513549227278</v>
      </c>
      <c r="AB9" s="432"/>
      <c r="AC9" s="447">
        <f>AVERAGE('Cuadro Mando Integral Detallado'!Z131:Z140,'Cuadro Mando Integral Detallado'!Z201,'Cuadro Mando Integral Detallado'!Z204:Z205,'Cuadro Mando Integral Detallado'!Z303)</f>
        <v>0</v>
      </c>
      <c r="AD9" s="402">
        <f t="shared" si="20"/>
        <v>0</v>
      </c>
      <c r="AE9" s="393">
        <f t="shared" si="21"/>
        <v>0</v>
      </c>
      <c r="AF9" s="393">
        <f t="shared" si="22"/>
        <v>0</v>
      </c>
      <c r="AG9" s="393">
        <f t="shared" si="23"/>
        <v>0</v>
      </c>
      <c r="AH9" s="394">
        <f t="shared" si="24"/>
        <v>0</v>
      </c>
      <c r="AI9" s="447">
        <f>AVERAGE('Cuadro Mando Integral Detallado'!AC131:AC140,'Cuadro Mando Integral Detallado'!AC201,'Cuadro Mando Integral Detallado'!AC204:AC205,'Cuadro Mando Integral Detallado'!AC303)</f>
        <v>0.37179513549227278</v>
      </c>
      <c r="AJ9" s="402">
        <f t="shared" si="25"/>
        <v>0.37179513549227278</v>
      </c>
      <c r="AK9" s="397">
        <f t="shared" si="26"/>
        <v>0.37179513549227278</v>
      </c>
      <c r="AL9" s="397">
        <f t="shared" si="27"/>
        <v>0.37179513549227278</v>
      </c>
      <c r="AM9" s="397">
        <f t="shared" si="28"/>
        <v>0.37179513549227278</v>
      </c>
      <c r="AN9" s="398">
        <f t="shared" si="29"/>
        <v>0.37179513549227278</v>
      </c>
      <c r="AO9" s="432"/>
      <c r="AP9" s="447">
        <f>AVERAGE('Cuadro Mando Integral Detallado'!AG131:AG140,'Cuadro Mando Integral Detallado'!AG201,'Cuadro Mando Integral Detallado'!AG204:AG205,'Cuadro Mando Integral Detallado'!AG303)</f>
        <v>0</v>
      </c>
      <c r="AQ9" s="402">
        <f t="shared" si="30"/>
        <v>0</v>
      </c>
      <c r="AR9" s="393">
        <f t="shared" si="31"/>
        <v>0</v>
      </c>
      <c r="AS9" s="393">
        <f t="shared" si="32"/>
        <v>0</v>
      </c>
      <c r="AT9" s="393">
        <f t="shared" si="33"/>
        <v>0</v>
      </c>
      <c r="AU9" s="394">
        <f t="shared" si="34"/>
        <v>0</v>
      </c>
      <c r="AV9" s="447">
        <f>AVERAGE('Cuadro Mando Integral Detallado'!AI131:AI140,'Cuadro Mando Integral Detallado'!AI201,'Cuadro Mando Integral Detallado'!AI204:AI205,'Cuadro Mando Integral Detallado'!AI303)</f>
        <v>0.37179513549227278</v>
      </c>
      <c r="AW9" s="402">
        <f t="shared" si="39"/>
        <v>0.37179513549227278</v>
      </c>
      <c r="AX9" s="397">
        <f t="shared" si="35"/>
        <v>0.37179513549227278</v>
      </c>
      <c r="AY9" s="397">
        <f t="shared" si="36"/>
        <v>0.37179513549227278</v>
      </c>
      <c r="AZ9" s="397">
        <f t="shared" si="37"/>
        <v>0.37179513549227278</v>
      </c>
      <c r="BA9" s="398">
        <f t="shared" si="38"/>
        <v>0.37179513549227278</v>
      </c>
    </row>
    <row r="10" spans="1:53" ht="54" x14ac:dyDescent="0.25">
      <c r="A10" s="390" t="s">
        <v>230</v>
      </c>
      <c r="B10" s="445"/>
      <c r="C10" s="447">
        <f>AVERAGE('Cuadro Mando Integral Detallado'!L141:L144,'Cuadro Mando Integral Detallado'!L190:L193,'Cuadro Mando Integral Detallado'!L206,'Cuadro Mando Integral Detallado'!L283:L296,'Cuadro Mando Integral Detallado'!L353:L355)</f>
        <v>0.99880845177829691</v>
      </c>
      <c r="D10" s="402">
        <f t="shared" si="0"/>
        <v>0.99880845177829691</v>
      </c>
      <c r="E10" s="393">
        <f t="shared" si="1"/>
        <v>0.99880845177829691</v>
      </c>
      <c r="F10" s="393">
        <f t="shared" si="2"/>
        <v>0.99880845177829691</v>
      </c>
      <c r="G10" s="393">
        <f t="shared" si="3"/>
        <v>0.99880845177829691</v>
      </c>
      <c r="H10" s="394">
        <f t="shared" si="4"/>
        <v>0.99880845177829691</v>
      </c>
      <c r="I10" s="447">
        <f>AVERAGE('Cuadro Mando Integral Detallado'!O141:O144,'Cuadro Mando Integral Detallado'!O190:O193,'Cuadro Mando Integral Detallado'!O206,'Cuadro Mando Integral Detallado'!O283:O296,'Cuadro Mando Integral Detallado'!O353:O355)</f>
        <v>0.49641322747272248</v>
      </c>
      <c r="J10" s="396">
        <f t="shared" si="5"/>
        <v>0.49641322747272248</v>
      </c>
      <c r="K10" s="397">
        <f t="shared" si="6"/>
        <v>0.49641322747272248</v>
      </c>
      <c r="L10" s="397">
        <f t="shared" si="7"/>
        <v>0.49641322747272248</v>
      </c>
      <c r="M10" s="397">
        <f t="shared" si="8"/>
        <v>0.49641322747272248</v>
      </c>
      <c r="N10" s="398">
        <f t="shared" si="9"/>
        <v>0.49641322747272248</v>
      </c>
      <c r="O10" s="11"/>
      <c r="P10" s="447">
        <f>AVERAGE('Cuadro Mando Integral Detallado'!S141:S144,'Cuadro Mando Integral Detallado'!S191:S193,'Cuadro Mando Integral Detallado'!S206,'Cuadro Mando Integral Detallado'!S283:S296,'Cuadro Mando Integral Detallado'!S353:S355)</f>
        <v>0.89975913088505466</v>
      </c>
      <c r="Q10" s="402">
        <f t="shared" si="10"/>
        <v>0.89975913088505466</v>
      </c>
      <c r="R10" s="393">
        <f t="shared" si="11"/>
        <v>0.89975913088505466</v>
      </c>
      <c r="S10" s="393">
        <f t="shared" si="12"/>
        <v>0.89975913088505466</v>
      </c>
      <c r="T10" s="393">
        <f t="shared" si="13"/>
        <v>0.89975913088505466</v>
      </c>
      <c r="U10" s="394">
        <f t="shared" si="14"/>
        <v>0.89975913088505466</v>
      </c>
      <c r="V10" s="447">
        <f>AVERAGE('Cuadro Mando Integral Detallado'!V141:V144,'Cuadro Mando Integral Detallado'!V191:V193,'Cuadro Mando Integral Detallado'!V206,'Cuadro Mando Integral Detallado'!V283:V296,'Cuadro Mando Integral Detallado'!V353:V355)</f>
        <v>0.56510847811717346</v>
      </c>
      <c r="W10" s="396">
        <f t="shared" si="15"/>
        <v>0.56510847811717346</v>
      </c>
      <c r="X10" s="397">
        <f t="shared" si="16"/>
        <v>0.56510847811717346</v>
      </c>
      <c r="Y10" s="397">
        <f t="shared" si="17"/>
        <v>0.56510847811717346</v>
      </c>
      <c r="Z10" s="397">
        <f t="shared" si="18"/>
        <v>0.56510847811717346</v>
      </c>
      <c r="AA10" s="398">
        <f t="shared" si="19"/>
        <v>0.56510847811717346</v>
      </c>
      <c r="AB10" s="432"/>
      <c r="AC10" s="447">
        <f>AVERAGE('Cuadro Mando Integral Detallado'!Z141:Z144,'Cuadro Mando Integral Detallado'!Z191:Z193,'Cuadro Mando Integral Detallado'!Z206,'Cuadro Mando Integral Detallado'!Z283:Z296,'Cuadro Mando Integral Detallado'!Z353:Z355)</f>
        <v>0</v>
      </c>
      <c r="AD10" s="402">
        <f t="shared" si="20"/>
        <v>0</v>
      </c>
      <c r="AE10" s="393">
        <f t="shared" si="21"/>
        <v>0</v>
      </c>
      <c r="AF10" s="393">
        <f t="shared" si="22"/>
        <v>0</v>
      </c>
      <c r="AG10" s="393">
        <f t="shared" si="23"/>
        <v>0</v>
      </c>
      <c r="AH10" s="394">
        <f t="shared" si="24"/>
        <v>0</v>
      </c>
      <c r="AI10" s="447">
        <f>AVERAGE('Cuadro Mando Integral Detallado'!AC141:AC144,'Cuadro Mando Integral Detallado'!AC191:AC193,'Cuadro Mando Integral Detallado'!AC206,'Cuadro Mando Integral Detallado'!AC283:AC296,'Cuadro Mando Integral Detallado'!AC353:AC355)</f>
        <v>0.50231864721526531</v>
      </c>
      <c r="AJ10" s="402">
        <f t="shared" si="25"/>
        <v>0.50231864721526531</v>
      </c>
      <c r="AK10" s="397">
        <f t="shared" si="26"/>
        <v>0.50231864721526531</v>
      </c>
      <c r="AL10" s="397">
        <f t="shared" si="27"/>
        <v>0.50231864721526531</v>
      </c>
      <c r="AM10" s="397">
        <f t="shared" si="28"/>
        <v>0.50231864721526531</v>
      </c>
      <c r="AN10" s="398">
        <f t="shared" si="29"/>
        <v>0.50231864721526531</v>
      </c>
      <c r="AO10" s="432"/>
      <c r="AP10" s="447">
        <f>AVERAGE('Cuadro Mando Integral Detallado'!AG141:AG144,'Cuadro Mando Integral Detallado'!AG191:AG193,'Cuadro Mando Integral Detallado'!AG206,'Cuadro Mando Integral Detallado'!AG283:AG296,'Cuadro Mando Integral Detallado'!AG353:AG355)</f>
        <v>0</v>
      </c>
      <c r="AQ10" s="402">
        <f t="shared" si="30"/>
        <v>0</v>
      </c>
      <c r="AR10" s="393">
        <f t="shared" si="31"/>
        <v>0</v>
      </c>
      <c r="AS10" s="393">
        <f t="shared" si="32"/>
        <v>0</v>
      </c>
      <c r="AT10" s="393">
        <f t="shared" si="33"/>
        <v>0</v>
      </c>
      <c r="AU10" s="394">
        <f t="shared" si="34"/>
        <v>0</v>
      </c>
      <c r="AV10" s="447">
        <f>AVERAGE('Cuadro Mando Integral Detallado'!AI141:AI144,'Cuadro Mando Integral Detallado'!AI191:AI193,'Cuadro Mando Integral Detallado'!AI206,'Cuadro Mando Integral Detallado'!AI283:AI296,'Cuadro Mando Integral Detallado'!AI353:AI355)</f>
        <v>0.43659720216846859</v>
      </c>
      <c r="AW10" s="402">
        <f t="shared" si="39"/>
        <v>0.43659720216846859</v>
      </c>
      <c r="AX10" s="397">
        <f t="shared" si="35"/>
        <v>0.43659720216846859</v>
      </c>
      <c r="AY10" s="397">
        <f t="shared" si="36"/>
        <v>0.43659720216846859</v>
      </c>
      <c r="AZ10" s="397">
        <f t="shared" si="37"/>
        <v>0.43659720216846859</v>
      </c>
      <c r="BA10" s="398">
        <f t="shared" si="38"/>
        <v>0.43659720216846859</v>
      </c>
    </row>
    <row r="11" spans="1:53" ht="36" x14ac:dyDescent="0.25">
      <c r="A11" s="448" t="s">
        <v>14</v>
      </c>
      <c r="B11" s="445"/>
      <c r="C11" s="447">
        <f>AVERAGE('Cuadro Mando Integral Detallado'!L177:L189,'Cuadro Mando Integral Detallado'!L251:L282,'Cuadro Mando Integral Detallado'!L305:L352)</f>
        <v>0.88770480894540849</v>
      </c>
      <c r="D11" s="402">
        <f t="shared" si="0"/>
        <v>0.88770480894540849</v>
      </c>
      <c r="E11" s="393">
        <f t="shared" si="1"/>
        <v>0.88770480894540849</v>
      </c>
      <c r="F11" s="393">
        <f t="shared" si="2"/>
        <v>0.88770480894540849</v>
      </c>
      <c r="G11" s="393">
        <f t="shared" si="3"/>
        <v>0.88770480894540849</v>
      </c>
      <c r="H11" s="394">
        <f t="shared" si="4"/>
        <v>0.88770480894540849</v>
      </c>
      <c r="I11" s="447">
        <f>AVERAGE('Cuadro Mando Integral Detallado'!O177:O189,'Cuadro Mando Integral Detallado'!O251:O282,'Cuadro Mando Integral Detallado'!O305:O352)</f>
        <v>0.43463967801455794</v>
      </c>
      <c r="J11" s="396">
        <f t="shared" si="5"/>
        <v>0.43463967801455794</v>
      </c>
      <c r="K11" s="397">
        <f t="shared" si="6"/>
        <v>0.43463967801455794</v>
      </c>
      <c r="L11" s="397">
        <f t="shared" si="7"/>
        <v>0.43463967801455794</v>
      </c>
      <c r="M11" s="397">
        <f t="shared" si="8"/>
        <v>0.43463967801455794</v>
      </c>
      <c r="N11" s="398">
        <f t="shared" si="9"/>
        <v>0.43463967801455794</v>
      </c>
      <c r="O11" s="11"/>
      <c r="P11" s="447">
        <f>AVERAGE('Cuadro Mando Integral Detallado'!S177:S189,'Cuadro Mando Integral Detallado'!S251:S282,'Cuadro Mando Integral Detallado'!S305:S352)</f>
        <v>0.7666730777344587</v>
      </c>
      <c r="Q11" s="402">
        <f t="shared" si="10"/>
        <v>0.7666730777344587</v>
      </c>
      <c r="R11" s="393">
        <f t="shared" si="11"/>
        <v>0.7666730777344587</v>
      </c>
      <c r="S11" s="393">
        <f t="shared" si="12"/>
        <v>0.7666730777344587</v>
      </c>
      <c r="T11" s="393">
        <f t="shared" si="13"/>
        <v>0.7666730777344587</v>
      </c>
      <c r="U11" s="394">
        <f t="shared" si="14"/>
        <v>0.7666730777344587</v>
      </c>
      <c r="V11" s="447">
        <f>AVERAGE('Cuadro Mando Integral Detallado'!V177:V189,'Cuadro Mando Integral Detallado'!V251:V282,'Cuadro Mando Integral Detallado'!V305:V352)</f>
        <v>0.46032396760423133</v>
      </c>
      <c r="W11" s="396">
        <f t="shared" si="15"/>
        <v>0.46032396760423133</v>
      </c>
      <c r="X11" s="397">
        <f t="shared" si="16"/>
        <v>0.46032396760423133</v>
      </c>
      <c r="Y11" s="397">
        <f t="shared" si="17"/>
        <v>0.46032396760423133</v>
      </c>
      <c r="Z11" s="397">
        <f t="shared" si="18"/>
        <v>0.46032396760423133</v>
      </c>
      <c r="AA11" s="398">
        <f t="shared" si="19"/>
        <v>0.46032396760423133</v>
      </c>
      <c r="AB11" s="432"/>
      <c r="AC11" s="447">
        <f>AVERAGE('Cuadro Mando Integral Detallado'!Z177:Z189,'Cuadro Mando Integral Detallado'!Z251:Z282,'Cuadro Mando Integral Detallado'!Z305:Z352)</f>
        <v>0</v>
      </c>
      <c r="AD11" s="402">
        <f t="shared" si="20"/>
        <v>0</v>
      </c>
      <c r="AE11" s="393">
        <f t="shared" si="21"/>
        <v>0</v>
      </c>
      <c r="AF11" s="393">
        <f t="shared" si="22"/>
        <v>0</v>
      </c>
      <c r="AG11" s="393">
        <f t="shared" si="23"/>
        <v>0</v>
      </c>
      <c r="AH11" s="394">
        <f t="shared" si="24"/>
        <v>0</v>
      </c>
      <c r="AI11" s="447" t="e">
        <f>AVERAGE('Cuadro Mando Integral Detallado'!AC177:AC189,'Cuadro Mando Integral Detallado'!AC251:AC282,'Cuadro Mando Integral Detallado'!AC305:AC352)</f>
        <v>#VALUE!</v>
      </c>
      <c r="AJ11" s="402" t="e">
        <f t="shared" si="25"/>
        <v>#VALUE!</v>
      </c>
      <c r="AK11" s="397" t="e">
        <f t="shared" si="26"/>
        <v>#VALUE!</v>
      </c>
      <c r="AL11" s="397" t="e">
        <f t="shared" si="27"/>
        <v>#VALUE!</v>
      </c>
      <c r="AM11" s="397" t="e">
        <f t="shared" si="28"/>
        <v>#VALUE!</v>
      </c>
      <c r="AN11" s="398" t="e">
        <f t="shared" si="29"/>
        <v>#VALUE!</v>
      </c>
      <c r="AO11" s="432"/>
      <c r="AP11" s="447">
        <f>AVERAGE('Cuadro Mando Integral Detallado'!AG177:AG189,'Cuadro Mando Integral Detallado'!AG251:AG282,'Cuadro Mando Integral Detallado'!AG305:AG352)</f>
        <v>3.125E-2</v>
      </c>
      <c r="AQ11" s="402">
        <f t="shared" si="30"/>
        <v>3.125E-2</v>
      </c>
      <c r="AR11" s="393">
        <f t="shared" si="31"/>
        <v>3.125E-2</v>
      </c>
      <c r="AS11" s="393">
        <f t="shared" si="32"/>
        <v>3.125E-2</v>
      </c>
      <c r="AT11" s="393">
        <f t="shared" si="33"/>
        <v>3.125E-2</v>
      </c>
      <c r="AU11" s="394">
        <f t="shared" si="34"/>
        <v>3.125E-2</v>
      </c>
      <c r="AV11" s="447" t="e">
        <f>AVERAGE('Cuadro Mando Integral Detallado'!AI177:AI189,'Cuadro Mando Integral Detallado'!AI251:AI282,'Cuadro Mando Integral Detallado'!AI305:AI352)</f>
        <v>#VALUE!</v>
      </c>
      <c r="AW11" s="402" t="e">
        <f t="shared" si="39"/>
        <v>#VALUE!</v>
      </c>
      <c r="AX11" s="397" t="e">
        <f t="shared" si="35"/>
        <v>#VALUE!</v>
      </c>
      <c r="AY11" s="397" t="e">
        <f t="shared" si="36"/>
        <v>#VALUE!</v>
      </c>
      <c r="AZ11" s="397" t="e">
        <f t="shared" si="37"/>
        <v>#VALUE!</v>
      </c>
      <c r="BA11" s="398" t="e">
        <f t="shared" si="38"/>
        <v>#VALUE!</v>
      </c>
    </row>
    <row r="12" spans="1:53" ht="36" x14ac:dyDescent="0.25">
      <c r="A12" s="448" t="s">
        <v>231</v>
      </c>
      <c r="B12" s="445"/>
      <c r="C12" s="447">
        <f>AVERAGE('Cuadro Mando Integral Detallado'!L194:L199,'Cuadro Mando Integral Detallado'!L241:L243,'Cuadro Mando Integral Detallado'!L297:L298,'Cuadro Mando Integral Detallado'!L301,'Cuadro Mando Integral Detallado'!L358:L359)</f>
        <v>0.72946859903381644</v>
      </c>
      <c r="D12" s="402">
        <f t="shared" si="0"/>
        <v>0.72946859903381644</v>
      </c>
      <c r="E12" s="393">
        <f t="shared" si="1"/>
        <v>0.72946859903381644</v>
      </c>
      <c r="F12" s="393">
        <f t="shared" si="2"/>
        <v>0.72946859903381644</v>
      </c>
      <c r="G12" s="393">
        <f t="shared" si="3"/>
        <v>0.72946859903381644</v>
      </c>
      <c r="H12" s="394">
        <f t="shared" si="4"/>
        <v>0.72946859903381644</v>
      </c>
      <c r="I12" s="447">
        <f>AVERAGE('Cuadro Mando Integral Detallado'!O194:O199,'Cuadro Mando Integral Detallado'!O241:O243,'Cuadro Mando Integral Detallado'!O297:O298,'Cuadro Mando Integral Detallado'!O301,'Cuadro Mando Integral Detallado'!O358:O359)</f>
        <v>0.47472826086956527</v>
      </c>
      <c r="J12" s="396">
        <f t="shared" si="5"/>
        <v>0.47472826086956527</v>
      </c>
      <c r="K12" s="397">
        <f t="shared" si="6"/>
        <v>0.47472826086956527</v>
      </c>
      <c r="L12" s="397">
        <f t="shared" si="7"/>
        <v>0.47472826086956527</v>
      </c>
      <c r="M12" s="397">
        <f t="shared" si="8"/>
        <v>0.47472826086956527</v>
      </c>
      <c r="N12" s="398">
        <f t="shared" si="9"/>
        <v>0.47472826086956527</v>
      </c>
      <c r="O12" s="11"/>
      <c r="P12" s="447">
        <f>AVERAGE('Cuadro Mando Integral Detallado'!S194:S199,'Cuadro Mando Integral Detallado'!S241:S243,'Cuadro Mando Integral Detallado'!S297:S301,'Cuadro Mando Integral Detallado'!S358:S359)</f>
        <v>0.875</v>
      </c>
      <c r="Q12" s="402">
        <f t="shared" si="10"/>
        <v>0.875</v>
      </c>
      <c r="R12" s="393">
        <f t="shared" si="11"/>
        <v>0.875</v>
      </c>
      <c r="S12" s="393">
        <f t="shared" si="12"/>
        <v>0.875</v>
      </c>
      <c r="T12" s="393">
        <f t="shared" si="13"/>
        <v>0.875</v>
      </c>
      <c r="U12" s="394">
        <f t="shared" si="14"/>
        <v>0.875</v>
      </c>
      <c r="V12" s="447">
        <f>AVERAGE('Cuadro Mando Integral Detallado'!V194:V199,'Cuadro Mando Integral Detallado'!V241:V243,'Cuadro Mando Integral Detallado'!V297:V301,'Cuadro Mando Integral Detallado'!V358:V359)</f>
        <v>0.6437888198757763</v>
      </c>
      <c r="W12" s="396">
        <f t="shared" si="15"/>
        <v>0.6437888198757763</v>
      </c>
      <c r="X12" s="397">
        <f t="shared" si="16"/>
        <v>0.6437888198757763</v>
      </c>
      <c r="Y12" s="397">
        <f t="shared" si="17"/>
        <v>0.6437888198757763</v>
      </c>
      <c r="Z12" s="397">
        <f t="shared" si="18"/>
        <v>0.6437888198757763</v>
      </c>
      <c r="AA12" s="398">
        <f t="shared" si="19"/>
        <v>0.6437888198757763</v>
      </c>
      <c r="AB12" s="432"/>
      <c r="AC12" s="447">
        <f>AVERAGE('Cuadro Mando Integral Detallado'!Z194:Z199,'Cuadro Mando Integral Detallado'!Z241:Z243,'Cuadro Mando Integral Detallado'!Z297:Z301,'Cuadro Mando Integral Detallado'!Z358:Z359)</f>
        <v>0</v>
      </c>
      <c r="AD12" s="402">
        <f t="shared" si="20"/>
        <v>0</v>
      </c>
      <c r="AE12" s="393">
        <f t="shared" si="21"/>
        <v>0</v>
      </c>
      <c r="AF12" s="393">
        <f t="shared" si="22"/>
        <v>0</v>
      </c>
      <c r="AG12" s="393">
        <f t="shared" si="23"/>
        <v>0</v>
      </c>
      <c r="AH12" s="394">
        <f t="shared" si="24"/>
        <v>0</v>
      </c>
      <c r="AI12" s="447">
        <f>AVERAGE('Cuadro Mando Integral Detallado'!AC194:AC199,'Cuadro Mando Integral Detallado'!AC241:AC243,'Cuadro Mando Integral Detallado'!AC297:AC301,'Cuadro Mando Integral Detallado'!AC358:AC359)</f>
        <v>0.6437888198757763</v>
      </c>
      <c r="AJ12" s="402">
        <f t="shared" si="25"/>
        <v>0.6437888198757763</v>
      </c>
      <c r="AK12" s="397">
        <f t="shared" si="26"/>
        <v>0.6437888198757763</v>
      </c>
      <c r="AL12" s="397">
        <f t="shared" si="27"/>
        <v>0.6437888198757763</v>
      </c>
      <c r="AM12" s="397">
        <f t="shared" si="28"/>
        <v>0.6437888198757763</v>
      </c>
      <c r="AN12" s="398">
        <f t="shared" si="29"/>
        <v>0.6437888198757763</v>
      </c>
      <c r="AO12" s="432"/>
      <c r="AP12" s="447">
        <f>AVERAGE('Cuadro Mando Integral Detallado'!AG194:AG199,'Cuadro Mando Integral Detallado'!AG241:AG243,'Cuadro Mando Integral Detallado'!AG297:AG301,'Cuadro Mando Integral Detallado'!AG358:AG359)</f>
        <v>0</v>
      </c>
      <c r="AQ12" s="402">
        <f t="shared" si="30"/>
        <v>0</v>
      </c>
      <c r="AR12" s="393">
        <f t="shared" si="31"/>
        <v>0</v>
      </c>
      <c r="AS12" s="393">
        <f t="shared" si="32"/>
        <v>0</v>
      </c>
      <c r="AT12" s="393">
        <f t="shared" si="33"/>
        <v>0</v>
      </c>
      <c r="AU12" s="394">
        <f t="shared" si="34"/>
        <v>0</v>
      </c>
      <c r="AV12" s="447">
        <f>AVERAGE('Cuadro Mando Integral Detallado'!AI194:AI199,'Cuadro Mando Integral Detallado'!AI241:AI243,'Cuadro Mando Integral Detallado'!AI297:AI301,'Cuadro Mando Integral Detallado'!AI358:AI359)</f>
        <v>0.55795031055900612</v>
      </c>
      <c r="AW12" s="402">
        <f>+AV12</f>
        <v>0.55795031055900612</v>
      </c>
      <c r="AX12" s="397">
        <f t="shared" si="35"/>
        <v>0.55795031055900612</v>
      </c>
      <c r="AY12" s="397">
        <f t="shared" si="36"/>
        <v>0.55795031055900612</v>
      </c>
      <c r="AZ12" s="397">
        <f t="shared" si="37"/>
        <v>0.55795031055900612</v>
      </c>
      <c r="BA12" s="398">
        <f t="shared" si="38"/>
        <v>0.55795031055900612</v>
      </c>
    </row>
    <row r="13" spans="1:53" ht="18" x14ac:dyDescent="0.25">
      <c r="A13" s="448" t="s">
        <v>125</v>
      </c>
      <c r="B13" s="445"/>
      <c r="C13" s="447">
        <f>AVERAGE('Cuadro Mando Integral Detallado'!L152:L155,'Cuadro Mando Integral Detallado'!L159:L164,'Cuadro Mando Integral Detallado'!L210:L215,'Cuadro Mando Integral Detallado'!L218:L232,'Cuadro Mando Integral Detallado'!L244)</f>
        <v>0.66072036893640718</v>
      </c>
      <c r="D13" s="402">
        <f t="shared" si="0"/>
        <v>0.66072036893640718</v>
      </c>
      <c r="E13" s="393">
        <f t="shared" si="1"/>
        <v>0.66072036893640718</v>
      </c>
      <c r="F13" s="393">
        <f t="shared" si="2"/>
        <v>0.66072036893640718</v>
      </c>
      <c r="G13" s="393">
        <f t="shared" si="3"/>
        <v>0.66072036893640718</v>
      </c>
      <c r="H13" s="394">
        <f t="shared" si="4"/>
        <v>0.66072036893640718</v>
      </c>
      <c r="I13" s="447">
        <f>AVERAGE('Cuadro Mando Integral Detallado'!O152:O155,'Cuadro Mando Integral Detallado'!O159:O164,'Cuadro Mando Integral Detallado'!O210:O215,'Cuadro Mando Integral Detallado'!O218:O232,'Cuadro Mando Integral Detallado'!O244)</f>
        <v>0.25659784115185075</v>
      </c>
      <c r="J13" s="396">
        <f t="shared" si="5"/>
        <v>0.25659784115185075</v>
      </c>
      <c r="K13" s="397">
        <f t="shared" si="6"/>
        <v>0.25659784115185075</v>
      </c>
      <c r="L13" s="397">
        <f t="shared" si="7"/>
        <v>0.25659784115185075</v>
      </c>
      <c r="M13" s="397">
        <f t="shared" si="8"/>
        <v>0.25659784115185075</v>
      </c>
      <c r="N13" s="398">
        <f t="shared" si="9"/>
        <v>0.25659784115185075</v>
      </c>
      <c r="O13" s="11"/>
      <c r="P13" s="447">
        <f>AVERAGE('Cuadro Mando Integral Detallado'!S152:S155,'Cuadro Mando Integral Detallado'!S159:S164,'Cuadro Mando Integral Detallado'!S210:S215,'Cuadro Mando Integral Detallado'!S218,S220:S232,'Cuadro Mando Integral Detallado'!S244)</f>
        <v>0.83073648530998312</v>
      </c>
      <c r="Q13" s="402">
        <f t="shared" si="10"/>
        <v>0.83073648530998312</v>
      </c>
      <c r="R13" s="393">
        <f t="shared" si="11"/>
        <v>0.83073648530998312</v>
      </c>
      <c r="S13" s="393">
        <f t="shared" si="12"/>
        <v>0.83073648530998312</v>
      </c>
      <c r="T13" s="393">
        <f t="shared" si="13"/>
        <v>0.83073648530998312</v>
      </c>
      <c r="U13" s="394">
        <f t="shared" si="14"/>
        <v>0.83073648530998312</v>
      </c>
      <c r="V13" s="447">
        <f>AVERAGE('Cuadro Mando Integral Detallado'!V152:V155,'Cuadro Mando Integral Detallado'!V159:V164,'Cuadro Mando Integral Detallado'!V210:V215,'Cuadro Mando Integral Detallado'!V218:V232,'Cuadro Mando Integral Detallado'!V244)</f>
        <v>0.39558811244069708</v>
      </c>
      <c r="W13" s="396">
        <f t="shared" si="15"/>
        <v>0.39558811244069708</v>
      </c>
      <c r="X13" s="397">
        <f t="shared" si="16"/>
        <v>0.39558811244069708</v>
      </c>
      <c r="Y13" s="397">
        <f t="shared" si="17"/>
        <v>0.39558811244069708</v>
      </c>
      <c r="Z13" s="397">
        <f t="shared" si="18"/>
        <v>0.39558811244069708</v>
      </c>
      <c r="AA13" s="398">
        <f t="shared" si="19"/>
        <v>0.39558811244069708</v>
      </c>
      <c r="AB13" s="432"/>
      <c r="AC13" s="447">
        <f>AVERAGE('Cuadro Mando Integral Detallado'!Z152:Z155,'Cuadro Mando Integral Detallado'!Z159:Z164,'Cuadro Mando Integral Detallado'!Z210:Z215,'Cuadro Mando Integral Detallado'!Z218:Z232,'Cuadro Mando Integral Detallado'!Z244)</f>
        <v>0</v>
      </c>
      <c r="AD13" s="402">
        <f t="shared" si="20"/>
        <v>0</v>
      </c>
      <c r="AE13" s="393">
        <f t="shared" si="21"/>
        <v>0</v>
      </c>
      <c r="AF13" s="393">
        <f t="shared" si="22"/>
        <v>0</v>
      </c>
      <c r="AG13" s="393">
        <f t="shared" si="23"/>
        <v>0</v>
      </c>
      <c r="AH13" s="394">
        <f t="shared" si="24"/>
        <v>0</v>
      </c>
      <c r="AI13" s="447" t="e">
        <f>AVERAGE('Cuadro Mando Integral Detallado'!AC152:AC155,'Cuadro Mando Integral Detallado'!AC159:AC164,'Cuadro Mando Integral Detallado'!AC210:AC215,'Cuadro Mando Integral Detallado'!AC218:AC232,'Cuadro Mando Integral Detallado'!AC244)</f>
        <v>#VALUE!</v>
      </c>
      <c r="AJ13" s="402" t="e">
        <f t="shared" si="25"/>
        <v>#VALUE!</v>
      </c>
      <c r="AK13" s="397" t="e">
        <f t="shared" si="26"/>
        <v>#VALUE!</v>
      </c>
      <c r="AL13" s="397" t="e">
        <f t="shared" si="27"/>
        <v>#VALUE!</v>
      </c>
      <c r="AM13" s="397" t="e">
        <f t="shared" si="28"/>
        <v>#VALUE!</v>
      </c>
      <c r="AN13" s="398" t="e">
        <f t="shared" si="29"/>
        <v>#VALUE!</v>
      </c>
      <c r="AO13" s="432"/>
      <c r="AP13" s="447">
        <f>AVERAGE('Cuadro Mando Integral Detallado'!AG152:AG155,'Cuadro Mando Integral Detallado'!AG159:AG164,'Cuadro Mando Integral Detallado'!AG210:AG215,'Cuadro Mando Integral Detallado'!AG218:AG232,'Cuadro Mando Integral Detallado'!AG244)</f>
        <v>0</v>
      </c>
      <c r="AQ13" s="402">
        <f t="shared" si="30"/>
        <v>0</v>
      </c>
      <c r="AR13" s="393">
        <f t="shared" si="31"/>
        <v>0</v>
      </c>
      <c r="AS13" s="393">
        <f t="shared" si="32"/>
        <v>0</v>
      </c>
      <c r="AT13" s="393">
        <f t="shared" si="33"/>
        <v>0</v>
      </c>
      <c r="AU13" s="394">
        <f t="shared" si="34"/>
        <v>0</v>
      </c>
      <c r="AV13" s="447" t="e">
        <f>AVERAGE('Cuadro Mando Integral Detallado'!AI152:AI155,'Cuadro Mando Integral Detallado'!AI159:AI164,'Cuadro Mando Integral Detallado'!AI210:AI215,'Cuadro Mando Integral Detallado'!AI218:AI232,'Cuadro Mando Integral Detallado'!AI244)</f>
        <v>#VALUE!</v>
      </c>
      <c r="AW13" s="402" t="e">
        <f t="shared" si="39"/>
        <v>#VALUE!</v>
      </c>
      <c r="AX13" s="397" t="e">
        <f t="shared" si="35"/>
        <v>#VALUE!</v>
      </c>
      <c r="AY13" s="397" t="e">
        <f t="shared" si="36"/>
        <v>#VALUE!</v>
      </c>
      <c r="AZ13" s="397" t="e">
        <f t="shared" si="37"/>
        <v>#VALUE!</v>
      </c>
      <c r="BA13" s="398" t="e">
        <f t="shared" si="38"/>
        <v>#VALUE!</v>
      </c>
    </row>
    <row r="14" spans="1:53" ht="18.75" thickBot="1" x14ac:dyDescent="0.3">
      <c r="A14" s="404" t="s">
        <v>3</v>
      </c>
      <c r="B14" s="449"/>
      <c r="C14" s="450">
        <f>AVERAGE('Cuadro Mando Integral Detallado'!L176,'Cuadro Mando Integral Detallado'!L245:L250,'Cuadro Mando Integral Detallado'!L357)</f>
        <v>0.8571428571428571</v>
      </c>
      <c r="D14" s="416">
        <f t="shared" si="0"/>
        <v>0.8571428571428571</v>
      </c>
      <c r="E14" s="407">
        <f t="shared" si="1"/>
        <v>0.8571428571428571</v>
      </c>
      <c r="F14" s="407">
        <f t="shared" si="2"/>
        <v>0.8571428571428571</v>
      </c>
      <c r="G14" s="407">
        <f t="shared" si="3"/>
        <v>0.8571428571428571</v>
      </c>
      <c r="H14" s="408">
        <f t="shared" si="4"/>
        <v>0.8571428571428571</v>
      </c>
      <c r="I14" s="450">
        <f>AVERAGE('Cuadro Mando Integral Detallado'!O176,'Cuadro Mando Integral Detallado'!O245:R250,'Cuadro Mando Integral Detallado'!O357)</f>
        <v>1.0015432098765433</v>
      </c>
      <c r="J14" s="410">
        <f t="shared" si="5"/>
        <v>1.0015432098765433</v>
      </c>
      <c r="K14" s="411">
        <f t="shared" si="6"/>
        <v>1.0015432098765433</v>
      </c>
      <c r="L14" s="411">
        <f t="shared" si="7"/>
        <v>1.0015432098765433</v>
      </c>
      <c r="M14" s="411">
        <f t="shared" si="8"/>
        <v>1.0015432098765433</v>
      </c>
      <c r="N14" s="412">
        <f t="shared" si="9"/>
        <v>1.0015432098765433</v>
      </c>
      <c r="O14" s="11"/>
      <c r="P14" s="450">
        <f>AVERAGE('Cuadro Mando Integral Detallado'!S176,'Cuadro Mando Integral Detallado'!S245:S250,'Cuadro Mando Integral Detallado'!S357)</f>
        <v>1</v>
      </c>
      <c r="Q14" s="416">
        <f t="shared" si="10"/>
        <v>1</v>
      </c>
      <c r="R14" s="407">
        <f t="shared" si="11"/>
        <v>1</v>
      </c>
      <c r="S14" s="407">
        <f t="shared" si="12"/>
        <v>1</v>
      </c>
      <c r="T14" s="407">
        <f t="shared" si="13"/>
        <v>1</v>
      </c>
      <c r="U14" s="408">
        <f t="shared" si="14"/>
        <v>1</v>
      </c>
      <c r="V14" s="450">
        <f>AVERAGE('Cuadro Mando Integral Detallado'!V176,'Cuadro Mando Integral Detallado'!V245:V250,'Cuadro Mando Integral Detallado'!V357)</f>
        <v>0.48381410256410251</v>
      </c>
      <c r="W14" s="410">
        <f t="shared" si="15"/>
        <v>0.48381410256410251</v>
      </c>
      <c r="X14" s="411">
        <f t="shared" si="16"/>
        <v>0.48381410256410251</v>
      </c>
      <c r="Y14" s="411">
        <f t="shared" si="17"/>
        <v>0.48381410256410251</v>
      </c>
      <c r="Z14" s="411">
        <f t="shared" si="18"/>
        <v>0.48381410256410251</v>
      </c>
      <c r="AA14" s="412">
        <f>+W14</f>
        <v>0.48381410256410251</v>
      </c>
      <c r="AB14" s="432"/>
      <c r="AC14" s="450">
        <f>AVERAGE('Cuadro Mando Integral Detallado'!Z176,'Cuadro Mando Integral Detallado'!Z245:Z250,'Cuadro Mando Integral Detallado'!Z357)</f>
        <v>0</v>
      </c>
      <c r="AD14" s="416">
        <f t="shared" si="20"/>
        <v>0</v>
      </c>
      <c r="AE14" s="407">
        <f t="shared" si="21"/>
        <v>0</v>
      </c>
      <c r="AF14" s="407">
        <f t="shared" si="22"/>
        <v>0</v>
      </c>
      <c r="AG14" s="407">
        <f t="shared" si="23"/>
        <v>0</v>
      </c>
      <c r="AH14" s="408">
        <f t="shared" si="24"/>
        <v>0</v>
      </c>
      <c r="AI14" s="450">
        <f>AVERAGE('Cuadro Mando Integral Detallado'!AC176,'Cuadro Mando Integral Detallado'!AC245:AC250,'Cuadro Mando Integral Detallado'!AC357)</f>
        <v>0.48381410256410251</v>
      </c>
      <c r="AJ14" s="416">
        <f t="shared" si="25"/>
        <v>0.48381410256410251</v>
      </c>
      <c r="AK14" s="411">
        <f t="shared" si="26"/>
        <v>0.48381410256410251</v>
      </c>
      <c r="AL14" s="411">
        <f t="shared" si="27"/>
        <v>0.48381410256410251</v>
      </c>
      <c r="AM14" s="411">
        <f t="shared" si="28"/>
        <v>0.48381410256410251</v>
      </c>
      <c r="AN14" s="412">
        <f t="shared" si="29"/>
        <v>0.48381410256410251</v>
      </c>
      <c r="AO14" s="432"/>
      <c r="AP14" s="450">
        <f>AVERAGE('Cuadro Mando Integral Detallado'!AG176,'Cuadro Mando Integral Detallado'!AG245:AG250,'Cuadro Mando Integral Detallado'!AG357)</f>
        <v>0</v>
      </c>
      <c r="AQ14" s="416">
        <f t="shared" si="30"/>
        <v>0</v>
      </c>
      <c r="AR14" s="407">
        <f t="shared" si="31"/>
        <v>0</v>
      </c>
      <c r="AS14" s="407">
        <f t="shared" si="32"/>
        <v>0</v>
      </c>
      <c r="AT14" s="407">
        <f t="shared" si="33"/>
        <v>0</v>
      </c>
      <c r="AU14" s="408">
        <f t="shared" si="34"/>
        <v>0</v>
      </c>
      <c r="AV14" s="450">
        <f>AVERAGE('Cuadro Mando Integral Detallado'!AI176,'Cuadro Mando Integral Detallado'!AI245:AI250,'Cuadro Mando Integral Detallado'!AI357)</f>
        <v>0.48381410256410251</v>
      </c>
      <c r="AW14" s="416">
        <f t="shared" si="39"/>
        <v>0.48381410256410251</v>
      </c>
      <c r="AX14" s="411">
        <f>+AV14</f>
        <v>0.48381410256410251</v>
      </c>
      <c r="AY14" s="411">
        <f t="shared" si="36"/>
        <v>0.48381410256410251</v>
      </c>
      <c r="AZ14" s="411">
        <f t="shared" si="37"/>
        <v>0.48381410256410251</v>
      </c>
      <c r="BA14" s="412">
        <f t="shared" si="38"/>
        <v>0.48381410256410251</v>
      </c>
    </row>
    <row r="15" spans="1:53" x14ac:dyDescent="0.25">
      <c r="A15" s="13"/>
    </row>
  </sheetData>
  <sheetProtection algorithmName="SHA-512" hashValue="0nmmJjQpuaXy3z29szXkLuJkf15x1HGmo0NFEge/6z6gK06MBIN8bZ3FzEuyWyCCvX4oSYo8lMmUmub5p9XX3Q==" saltValue="kbio3PY1RXVeOlSeIDmX7g=="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591" priority="302" stopIfTrue="1" operator="between">
      <formula>0</formula>
      <formula>0.5</formula>
    </cfRule>
  </conditionalFormatting>
  <conditionalFormatting sqref="R6">
    <cfRule type="cellIs" dxfId="590" priority="301" operator="between">
      <formula>0.51</formula>
      <formula>0.75</formula>
    </cfRule>
  </conditionalFormatting>
  <conditionalFormatting sqref="S6">
    <cfRule type="cellIs" dxfId="589" priority="300" operator="between">
      <formula>0.76</formula>
      <formula>0.95</formula>
    </cfRule>
  </conditionalFormatting>
  <conditionalFormatting sqref="T6">
    <cfRule type="cellIs" dxfId="588" priority="299" operator="between">
      <formula>0.95</formula>
      <formula>1</formula>
    </cfRule>
  </conditionalFormatting>
  <conditionalFormatting sqref="U6">
    <cfRule type="cellIs" dxfId="587" priority="298" operator="greaterThan">
      <formula>1</formula>
    </cfRule>
  </conditionalFormatting>
  <conditionalFormatting sqref="Q7">
    <cfRule type="cellIs" dxfId="586" priority="297" stopIfTrue="1" operator="between">
      <formula>0</formula>
      <formula>0.5</formula>
    </cfRule>
  </conditionalFormatting>
  <conditionalFormatting sqref="R7">
    <cfRule type="cellIs" dxfId="585" priority="296" operator="between">
      <formula>0.51</formula>
      <formula>0.75</formula>
    </cfRule>
  </conditionalFormatting>
  <conditionalFormatting sqref="S7">
    <cfRule type="cellIs" dxfId="584" priority="295" operator="between">
      <formula>0.76</formula>
      <formula>0.95</formula>
    </cfRule>
  </conditionalFormatting>
  <conditionalFormatting sqref="T7">
    <cfRule type="cellIs" dxfId="583" priority="294" operator="between">
      <formula>0.95</formula>
      <formula>1</formula>
    </cfRule>
  </conditionalFormatting>
  <conditionalFormatting sqref="U7">
    <cfRule type="cellIs" dxfId="582" priority="293" operator="greaterThan">
      <formula>1</formula>
    </cfRule>
  </conditionalFormatting>
  <conditionalFormatting sqref="Q8">
    <cfRule type="cellIs" dxfId="581" priority="292" stopIfTrue="1" operator="between">
      <formula>0</formula>
      <formula>0.5</formula>
    </cfRule>
  </conditionalFormatting>
  <conditionalFormatting sqref="R8">
    <cfRule type="cellIs" dxfId="580" priority="291" operator="between">
      <formula>0.51</formula>
      <formula>0.75</formula>
    </cfRule>
  </conditionalFormatting>
  <conditionalFormatting sqref="S8">
    <cfRule type="cellIs" dxfId="579" priority="290" operator="between">
      <formula>0.76</formula>
      <formula>0.95</formula>
    </cfRule>
  </conditionalFormatting>
  <conditionalFormatting sqref="T8">
    <cfRule type="cellIs" dxfId="578" priority="289" operator="between">
      <formula>0.95</formula>
      <formula>1</formula>
    </cfRule>
  </conditionalFormatting>
  <conditionalFormatting sqref="U8">
    <cfRule type="cellIs" dxfId="577" priority="288" operator="greaterThan">
      <formula>1</formula>
    </cfRule>
  </conditionalFormatting>
  <conditionalFormatting sqref="Q9">
    <cfRule type="cellIs" dxfId="576" priority="287" stopIfTrue="1" operator="between">
      <formula>0</formula>
      <formula>0.5</formula>
    </cfRule>
  </conditionalFormatting>
  <conditionalFormatting sqref="R9">
    <cfRule type="cellIs" dxfId="575" priority="286" operator="between">
      <formula>0.51</formula>
      <formula>0.75</formula>
    </cfRule>
  </conditionalFormatting>
  <conditionalFormatting sqref="S9">
    <cfRule type="cellIs" dxfId="574" priority="285" operator="between">
      <formula>0.76</formula>
      <formula>0.95</formula>
    </cfRule>
  </conditionalFormatting>
  <conditionalFormatting sqref="T9">
    <cfRule type="cellIs" dxfId="573" priority="284" operator="between">
      <formula>0.95</formula>
      <formula>1</formula>
    </cfRule>
  </conditionalFormatting>
  <conditionalFormatting sqref="U9">
    <cfRule type="cellIs" dxfId="572" priority="283" operator="greaterThan">
      <formula>1</formula>
    </cfRule>
  </conditionalFormatting>
  <conditionalFormatting sqref="Q10">
    <cfRule type="cellIs" dxfId="571" priority="282" stopIfTrue="1" operator="between">
      <formula>0</formula>
      <formula>0.5</formula>
    </cfRule>
  </conditionalFormatting>
  <conditionalFormatting sqref="R10">
    <cfRule type="cellIs" dxfId="570" priority="281" operator="between">
      <formula>0.51</formula>
      <formula>0.75</formula>
    </cfRule>
  </conditionalFormatting>
  <conditionalFormatting sqref="S10">
    <cfRule type="cellIs" dxfId="569" priority="280" operator="between">
      <formula>0.76</formula>
      <formula>0.95</formula>
    </cfRule>
  </conditionalFormatting>
  <conditionalFormatting sqref="T10">
    <cfRule type="cellIs" dxfId="568" priority="279" operator="between">
      <formula>0.95</formula>
      <formula>1</formula>
    </cfRule>
  </conditionalFormatting>
  <conditionalFormatting sqref="U10">
    <cfRule type="cellIs" dxfId="567" priority="278" operator="greaterThan">
      <formula>1</formula>
    </cfRule>
  </conditionalFormatting>
  <conditionalFormatting sqref="Q11">
    <cfRule type="cellIs" dxfId="566" priority="277" stopIfTrue="1" operator="between">
      <formula>0</formula>
      <formula>0.5</formula>
    </cfRule>
  </conditionalFormatting>
  <conditionalFormatting sqref="R11">
    <cfRule type="cellIs" dxfId="565" priority="276" operator="between">
      <formula>0.51</formula>
      <formula>0.75</formula>
    </cfRule>
  </conditionalFormatting>
  <conditionalFormatting sqref="S11">
    <cfRule type="cellIs" dxfId="564" priority="275" operator="between">
      <formula>0.76</formula>
      <formula>0.95</formula>
    </cfRule>
  </conditionalFormatting>
  <conditionalFormatting sqref="T11">
    <cfRule type="cellIs" dxfId="563" priority="274" operator="between">
      <formula>0.95</formula>
      <formula>1</formula>
    </cfRule>
  </conditionalFormatting>
  <conditionalFormatting sqref="U11">
    <cfRule type="cellIs" dxfId="562" priority="273" operator="greaterThan">
      <formula>1</formula>
    </cfRule>
  </conditionalFormatting>
  <conditionalFormatting sqref="Q12">
    <cfRule type="cellIs" dxfId="561" priority="272" stopIfTrue="1" operator="between">
      <formula>0</formula>
      <formula>0.5</formula>
    </cfRule>
  </conditionalFormatting>
  <conditionalFormatting sqref="R12">
    <cfRule type="cellIs" dxfId="560" priority="271" operator="between">
      <formula>0.51</formula>
      <formula>0.75</formula>
    </cfRule>
  </conditionalFormatting>
  <conditionalFormatting sqref="S12">
    <cfRule type="cellIs" dxfId="559" priority="270" operator="between">
      <formula>0.76</formula>
      <formula>0.95</formula>
    </cfRule>
  </conditionalFormatting>
  <conditionalFormatting sqref="T12">
    <cfRule type="cellIs" dxfId="558" priority="269" operator="between">
      <formula>0.95</formula>
      <formula>1</formula>
    </cfRule>
  </conditionalFormatting>
  <conditionalFormatting sqref="U12">
    <cfRule type="cellIs" dxfId="557" priority="268" operator="greaterThan">
      <formula>1</formula>
    </cfRule>
  </conditionalFormatting>
  <conditionalFormatting sqref="Q13">
    <cfRule type="cellIs" dxfId="556" priority="267" stopIfTrue="1" operator="between">
      <formula>0</formula>
      <formula>0.5</formula>
    </cfRule>
  </conditionalFormatting>
  <conditionalFormatting sqref="R13">
    <cfRule type="cellIs" dxfId="555" priority="266" operator="between">
      <formula>0.51</formula>
      <formula>0.75</formula>
    </cfRule>
  </conditionalFormatting>
  <conditionalFormatting sqref="S13">
    <cfRule type="cellIs" dxfId="554" priority="265" operator="between">
      <formula>0.76</formula>
      <formula>0.95</formula>
    </cfRule>
  </conditionalFormatting>
  <conditionalFormatting sqref="T13">
    <cfRule type="cellIs" dxfId="553" priority="264" operator="between">
      <formula>0.95</formula>
      <formula>1</formula>
    </cfRule>
  </conditionalFormatting>
  <conditionalFormatting sqref="U13">
    <cfRule type="cellIs" dxfId="552" priority="263" operator="greaterThan">
      <formula>1</formula>
    </cfRule>
  </conditionalFormatting>
  <conditionalFormatting sqref="Q14">
    <cfRule type="cellIs" dxfId="551" priority="262" stopIfTrue="1" operator="between">
      <formula>0</formula>
      <formula>0.5</formula>
    </cfRule>
  </conditionalFormatting>
  <conditionalFormatting sqref="R14">
    <cfRule type="cellIs" dxfId="550" priority="261" operator="between">
      <formula>0.51</formula>
      <formula>0.75</formula>
    </cfRule>
  </conditionalFormatting>
  <conditionalFormatting sqref="S14">
    <cfRule type="cellIs" dxfId="549" priority="260" operator="between">
      <formula>0.76</formula>
      <formula>0.95</formula>
    </cfRule>
  </conditionalFormatting>
  <conditionalFormatting sqref="T14">
    <cfRule type="cellIs" dxfId="548" priority="259" operator="between">
      <formula>0.95</formula>
      <formula>1</formula>
    </cfRule>
  </conditionalFormatting>
  <conditionalFormatting sqref="U14">
    <cfRule type="cellIs" dxfId="547" priority="258" operator="greaterThan">
      <formula>1</formula>
    </cfRule>
  </conditionalFormatting>
  <conditionalFormatting sqref="W7">
    <cfRule type="cellIs" dxfId="546" priority="257" stopIfTrue="1" operator="between">
      <formula>0</formula>
      <formula>0.255</formula>
    </cfRule>
  </conditionalFormatting>
  <conditionalFormatting sqref="X7">
    <cfRule type="cellIs" dxfId="545" priority="256" operator="between">
      <formula>0.2551</formula>
      <formula>0.375</formula>
    </cfRule>
  </conditionalFormatting>
  <conditionalFormatting sqref="Y7">
    <cfRule type="cellIs" dxfId="544" priority="255" operator="between">
      <formula>0.3751</formula>
      <formula>0.475</formula>
    </cfRule>
  </conditionalFormatting>
  <conditionalFormatting sqref="Z7">
    <cfRule type="cellIs" dxfId="543" priority="254" operator="between">
      <formula>0.48</formula>
      <formula>0.51</formula>
    </cfRule>
  </conditionalFormatting>
  <conditionalFormatting sqref="AA7">
    <cfRule type="cellIs" dxfId="542" priority="253" operator="greaterThan">
      <formula>0.505</formula>
    </cfRule>
  </conditionalFormatting>
  <conditionalFormatting sqref="W9">
    <cfRule type="cellIs" dxfId="541" priority="252" stopIfTrue="1" operator="between">
      <formula>0</formula>
      <formula>0.255</formula>
    </cfRule>
  </conditionalFormatting>
  <conditionalFormatting sqref="X9">
    <cfRule type="cellIs" dxfId="540" priority="251" operator="between">
      <formula>0.2551</formula>
      <formula>0.375</formula>
    </cfRule>
  </conditionalFormatting>
  <conditionalFormatting sqref="Y9">
    <cfRule type="cellIs" dxfId="539" priority="250" operator="between">
      <formula>0.38</formula>
      <formula>0.475</formula>
    </cfRule>
  </conditionalFormatting>
  <conditionalFormatting sqref="Z9">
    <cfRule type="cellIs" dxfId="538" priority="249" operator="between">
      <formula>0.48</formula>
      <formula>0.51</formula>
    </cfRule>
  </conditionalFormatting>
  <conditionalFormatting sqref="AA9">
    <cfRule type="cellIs" dxfId="537" priority="248" operator="greaterThan">
      <formula>0.505</formula>
    </cfRule>
  </conditionalFormatting>
  <conditionalFormatting sqref="W10">
    <cfRule type="cellIs" dxfId="536" priority="247" stopIfTrue="1" operator="between">
      <formula>0</formula>
      <formula>0.255</formula>
    </cfRule>
  </conditionalFormatting>
  <conditionalFormatting sqref="X10">
    <cfRule type="cellIs" dxfId="535" priority="246" operator="between">
      <formula>0.2551</formula>
      <formula>0.375</formula>
    </cfRule>
  </conditionalFormatting>
  <conditionalFormatting sqref="Y10">
    <cfRule type="cellIs" dxfId="534" priority="245" operator="between">
      <formula>0.38</formula>
      <formula>0.475</formula>
    </cfRule>
  </conditionalFormatting>
  <conditionalFormatting sqref="Z10">
    <cfRule type="cellIs" dxfId="533" priority="244" operator="between">
      <formula>0.48</formula>
      <formula>0.51</formula>
    </cfRule>
  </conditionalFormatting>
  <conditionalFormatting sqref="AA10">
    <cfRule type="cellIs" dxfId="532" priority="243" operator="greaterThan">
      <formula>0.505</formula>
    </cfRule>
  </conditionalFormatting>
  <conditionalFormatting sqref="W11">
    <cfRule type="cellIs" dxfId="531" priority="242" stopIfTrue="1" operator="between">
      <formula>0</formula>
      <formula>0.255</formula>
    </cfRule>
  </conditionalFormatting>
  <conditionalFormatting sqref="X11">
    <cfRule type="cellIs" dxfId="530" priority="241" operator="between">
      <formula>0.2551</formula>
      <formula>0.375</formula>
    </cfRule>
  </conditionalFormatting>
  <conditionalFormatting sqref="Y11">
    <cfRule type="cellIs" dxfId="529" priority="240" operator="between">
      <formula>0.38</formula>
      <formula>0.475</formula>
    </cfRule>
  </conditionalFormatting>
  <conditionalFormatting sqref="Z11">
    <cfRule type="cellIs" dxfId="528" priority="239" operator="between">
      <formula>0.48</formula>
      <formula>0.51</formula>
    </cfRule>
  </conditionalFormatting>
  <conditionalFormatting sqref="AA11">
    <cfRule type="cellIs" dxfId="527" priority="238" operator="greaterThan">
      <formula>0.505</formula>
    </cfRule>
  </conditionalFormatting>
  <conditionalFormatting sqref="W12">
    <cfRule type="cellIs" dxfId="526" priority="237" stopIfTrue="1" operator="between">
      <formula>0</formula>
      <formula>0.255</formula>
    </cfRule>
  </conditionalFormatting>
  <conditionalFormatting sqref="X12">
    <cfRule type="cellIs" dxfId="525" priority="236" operator="between">
      <formula>0.2551</formula>
      <formula>0.375</formula>
    </cfRule>
  </conditionalFormatting>
  <conditionalFormatting sqref="Y12">
    <cfRule type="cellIs" dxfId="524" priority="235" operator="between">
      <formula>0.38</formula>
      <formula>0.475</formula>
    </cfRule>
  </conditionalFormatting>
  <conditionalFormatting sqref="Z12">
    <cfRule type="cellIs" dxfId="523" priority="234" operator="between">
      <formula>0.48</formula>
      <formula>0.51</formula>
    </cfRule>
  </conditionalFormatting>
  <conditionalFormatting sqref="AA12">
    <cfRule type="cellIs" dxfId="522" priority="233" operator="greaterThan">
      <formula>0.505</formula>
    </cfRule>
  </conditionalFormatting>
  <conditionalFormatting sqref="W13">
    <cfRule type="cellIs" dxfId="521" priority="232" stopIfTrue="1" operator="between">
      <formula>0</formula>
      <formula>0.255</formula>
    </cfRule>
  </conditionalFormatting>
  <conditionalFormatting sqref="X13">
    <cfRule type="cellIs" dxfId="520" priority="231" operator="between">
      <formula>0.2551</formula>
      <formula>0.375</formula>
    </cfRule>
  </conditionalFormatting>
  <conditionalFormatting sqref="Y13">
    <cfRule type="cellIs" dxfId="519" priority="230" operator="between">
      <formula>0.38</formula>
      <formula>0.475</formula>
    </cfRule>
  </conditionalFormatting>
  <conditionalFormatting sqref="Z13">
    <cfRule type="cellIs" dxfId="518" priority="229" operator="between">
      <formula>0.48</formula>
      <formula>0.51</formula>
    </cfRule>
  </conditionalFormatting>
  <conditionalFormatting sqref="AA13">
    <cfRule type="cellIs" dxfId="517" priority="228" operator="greaterThan">
      <formula>0.505</formula>
    </cfRule>
  </conditionalFormatting>
  <conditionalFormatting sqref="W14">
    <cfRule type="cellIs" dxfId="516" priority="227" stopIfTrue="1" operator="between">
      <formula>0</formula>
      <formula>0.255</formula>
    </cfRule>
  </conditionalFormatting>
  <conditionalFormatting sqref="X14">
    <cfRule type="cellIs" dxfId="515" priority="226" operator="between">
      <formula>0.2551</formula>
      <formula>0.375</formula>
    </cfRule>
  </conditionalFormatting>
  <conditionalFormatting sqref="Y14">
    <cfRule type="cellIs" dxfId="514" priority="225" operator="between">
      <formula>0.38</formula>
      <formula>0.475</formula>
    </cfRule>
  </conditionalFormatting>
  <conditionalFormatting sqref="Z14">
    <cfRule type="cellIs" dxfId="513" priority="224" operator="between">
      <formula>0.48</formula>
      <formula>0.51</formula>
    </cfRule>
  </conditionalFormatting>
  <conditionalFormatting sqref="AA14">
    <cfRule type="cellIs" dxfId="512" priority="223" operator="greaterThan">
      <formula>0.505</formula>
    </cfRule>
  </conditionalFormatting>
  <conditionalFormatting sqref="AD6">
    <cfRule type="cellIs" dxfId="511" priority="222" stopIfTrue="1" operator="between">
      <formula>0</formula>
      <formula>0.5</formula>
    </cfRule>
  </conditionalFormatting>
  <conditionalFormatting sqref="AE6">
    <cfRule type="cellIs" dxfId="510" priority="221" operator="between">
      <formula>0.51</formula>
      <formula>0.75</formula>
    </cfRule>
  </conditionalFormatting>
  <conditionalFormatting sqref="AF6">
    <cfRule type="cellIs" dxfId="509" priority="220" operator="between">
      <formula>0.76</formula>
      <formula>0.95</formula>
    </cfRule>
  </conditionalFormatting>
  <conditionalFormatting sqref="AG6">
    <cfRule type="cellIs" dxfId="508" priority="219" operator="between">
      <formula>0.95</formula>
      <formula>1</formula>
    </cfRule>
  </conditionalFormatting>
  <conditionalFormatting sqref="AH6">
    <cfRule type="cellIs" dxfId="507" priority="218" operator="greaterThan">
      <formula>1</formula>
    </cfRule>
  </conditionalFormatting>
  <conditionalFormatting sqref="AD7">
    <cfRule type="cellIs" dxfId="506" priority="217" stopIfTrue="1" operator="between">
      <formula>0</formula>
      <formula>0.5</formula>
    </cfRule>
  </conditionalFormatting>
  <conditionalFormatting sqref="AE7">
    <cfRule type="cellIs" dxfId="505" priority="216" operator="between">
      <formula>0.51</formula>
      <formula>0.75</formula>
    </cfRule>
  </conditionalFormatting>
  <conditionalFormatting sqref="AF7">
    <cfRule type="cellIs" dxfId="504" priority="215" operator="between">
      <formula>0.76</formula>
      <formula>0.95</formula>
    </cfRule>
  </conditionalFormatting>
  <conditionalFormatting sqref="AG7">
    <cfRule type="cellIs" dxfId="503" priority="214" operator="between">
      <formula>0.95</formula>
      <formula>1</formula>
    </cfRule>
  </conditionalFormatting>
  <conditionalFormatting sqref="AH7">
    <cfRule type="cellIs" dxfId="502" priority="213" operator="greaterThan">
      <formula>1</formula>
    </cfRule>
  </conditionalFormatting>
  <conditionalFormatting sqref="AD8">
    <cfRule type="cellIs" dxfId="501" priority="212" stopIfTrue="1" operator="between">
      <formula>0</formula>
      <formula>0.5</formula>
    </cfRule>
  </conditionalFormatting>
  <conditionalFormatting sqref="AE8">
    <cfRule type="cellIs" dxfId="500" priority="211" operator="between">
      <formula>0.51</formula>
      <formula>0.75</formula>
    </cfRule>
  </conditionalFormatting>
  <conditionalFormatting sqref="AF8">
    <cfRule type="cellIs" dxfId="499" priority="210" operator="between">
      <formula>0.76</formula>
      <formula>0.95</formula>
    </cfRule>
  </conditionalFormatting>
  <conditionalFormatting sqref="AG8">
    <cfRule type="cellIs" dxfId="498" priority="209" operator="between">
      <formula>0.95</formula>
      <formula>1</formula>
    </cfRule>
  </conditionalFormatting>
  <conditionalFormatting sqref="AH8">
    <cfRule type="cellIs" dxfId="497" priority="208" operator="greaterThan">
      <formula>1</formula>
    </cfRule>
  </conditionalFormatting>
  <conditionalFormatting sqref="AD9">
    <cfRule type="cellIs" dxfId="496" priority="207" stopIfTrue="1" operator="between">
      <formula>0</formula>
      <formula>0.5</formula>
    </cfRule>
  </conditionalFormatting>
  <conditionalFormatting sqref="AE9">
    <cfRule type="cellIs" dxfId="495" priority="206" operator="between">
      <formula>0.51</formula>
      <formula>0.75</formula>
    </cfRule>
  </conditionalFormatting>
  <conditionalFormatting sqref="AF9">
    <cfRule type="cellIs" dxfId="494" priority="205" operator="between">
      <formula>0.76</formula>
      <formula>0.95</formula>
    </cfRule>
  </conditionalFormatting>
  <conditionalFormatting sqref="AG9">
    <cfRule type="cellIs" dxfId="493" priority="204" operator="between">
      <formula>0.95</formula>
      <formula>1</formula>
    </cfRule>
  </conditionalFormatting>
  <conditionalFormatting sqref="AH9">
    <cfRule type="cellIs" dxfId="492" priority="203" operator="greaterThan">
      <formula>1</formula>
    </cfRule>
  </conditionalFormatting>
  <conditionalFormatting sqref="AD10">
    <cfRule type="cellIs" dxfId="491" priority="202" stopIfTrue="1" operator="between">
      <formula>0</formula>
      <formula>0.5</formula>
    </cfRule>
  </conditionalFormatting>
  <conditionalFormatting sqref="AE10">
    <cfRule type="cellIs" dxfId="490" priority="201" operator="between">
      <formula>0.51</formula>
      <formula>0.75</formula>
    </cfRule>
  </conditionalFormatting>
  <conditionalFormatting sqref="AF10">
    <cfRule type="cellIs" dxfId="489" priority="200" operator="between">
      <formula>0.76</formula>
      <formula>0.95</formula>
    </cfRule>
  </conditionalFormatting>
  <conditionalFormatting sqref="AG10">
    <cfRule type="cellIs" dxfId="488" priority="199" operator="between">
      <formula>0.95</formula>
      <formula>1</formula>
    </cfRule>
  </conditionalFormatting>
  <conditionalFormatting sqref="AH10">
    <cfRule type="cellIs" dxfId="487" priority="198" operator="greaterThan">
      <formula>1</formula>
    </cfRule>
  </conditionalFormatting>
  <conditionalFormatting sqref="AD11">
    <cfRule type="cellIs" dxfId="486" priority="197" stopIfTrue="1" operator="between">
      <formula>0</formula>
      <formula>0.5</formula>
    </cfRule>
  </conditionalFormatting>
  <conditionalFormatting sqref="AE11">
    <cfRule type="cellIs" dxfId="485" priority="196" operator="between">
      <formula>0.51</formula>
      <formula>0.75</formula>
    </cfRule>
  </conditionalFormatting>
  <conditionalFormatting sqref="AF11">
    <cfRule type="cellIs" dxfId="484" priority="195" operator="between">
      <formula>0.76</formula>
      <formula>0.95</formula>
    </cfRule>
  </conditionalFormatting>
  <conditionalFormatting sqref="AG11">
    <cfRule type="cellIs" dxfId="483" priority="194" operator="between">
      <formula>0.95</formula>
      <formula>1</formula>
    </cfRule>
  </conditionalFormatting>
  <conditionalFormatting sqref="AH11">
    <cfRule type="cellIs" dxfId="482" priority="193" operator="greaterThan">
      <formula>1</formula>
    </cfRule>
  </conditionalFormatting>
  <conditionalFormatting sqref="AD12">
    <cfRule type="cellIs" dxfId="481" priority="192" stopIfTrue="1" operator="between">
      <formula>0</formula>
      <formula>0.5</formula>
    </cfRule>
  </conditionalFormatting>
  <conditionalFormatting sqref="AE12">
    <cfRule type="cellIs" dxfId="480" priority="191" operator="between">
      <formula>0.51</formula>
      <formula>0.75</formula>
    </cfRule>
  </conditionalFormatting>
  <conditionalFormatting sqref="AF12">
    <cfRule type="cellIs" dxfId="479" priority="190" operator="between">
      <formula>0.76</formula>
      <formula>0.95</formula>
    </cfRule>
  </conditionalFormatting>
  <conditionalFormatting sqref="AG12">
    <cfRule type="cellIs" dxfId="478" priority="189" operator="between">
      <formula>0.95</formula>
      <formula>1</formula>
    </cfRule>
  </conditionalFormatting>
  <conditionalFormatting sqref="AH12">
    <cfRule type="cellIs" dxfId="477" priority="188" operator="greaterThan">
      <formula>1</formula>
    </cfRule>
  </conditionalFormatting>
  <conditionalFormatting sqref="AD13">
    <cfRule type="cellIs" dxfId="476" priority="187" stopIfTrue="1" operator="between">
      <formula>0</formula>
      <formula>0.5</formula>
    </cfRule>
  </conditionalFormatting>
  <conditionalFormatting sqref="AE13">
    <cfRule type="cellIs" dxfId="475" priority="186" operator="between">
      <formula>0.51</formula>
      <formula>0.75</formula>
    </cfRule>
  </conditionalFormatting>
  <conditionalFormatting sqref="AF13">
    <cfRule type="cellIs" dxfId="474" priority="185" operator="between">
      <formula>0.76</formula>
      <formula>0.95</formula>
    </cfRule>
  </conditionalFormatting>
  <conditionalFormatting sqref="AG13">
    <cfRule type="cellIs" dxfId="473" priority="184" operator="between">
      <formula>0.95</formula>
      <formula>1</formula>
    </cfRule>
  </conditionalFormatting>
  <conditionalFormatting sqref="AH13">
    <cfRule type="cellIs" dxfId="472" priority="183" operator="greaterThan">
      <formula>1</formula>
    </cfRule>
  </conditionalFormatting>
  <conditionalFormatting sqref="AD14">
    <cfRule type="cellIs" dxfId="471" priority="182" stopIfTrue="1" operator="between">
      <formula>0</formula>
      <formula>0.5</formula>
    </cfRule>
  </conditionalFormatting>
  <conditionalFormatting sqref="AE14">
    <cfRule type="cellIs" dxfId="470" priority="181" operator="between">
      <formula>0.51</formula>
      <formula>0.75</formula>
    </cfRule>
  </conditionalFormatting>
  <conditionalFormatting sqref="AF14">
    <cfRule type="cellIs" dxfId="469" priority="180" operator="between">
      <formula>0.76</formula>
      <formula>0.95</formula>
    </cfRule>
  </conditionalFormatting>
  <conditionalFormatting sqref="AG14">
    <cfRule type="cellIs" dxfId="468" priority="179" operator="between">
      <formula>0.95</formula>
      <formula>1</formula>
    </cfRule>
  </conditionalFormatting>
  <conditionalFormatting sqref="AH14">
    <cfRule type="cellIs" dxfId="467" priority="178" operator="greaterThan">
      <formula>1</formula>
    </cfRule>
  </conditionalFormatting>
  <conditionalFormatting sqref="AJ6">
    <cfRule type="cellIs" dxfId="466" priority="177" stopIfTrue="1" operator="between">
      <formula>0</formula>
      <formula>0.375</formula>
    </cfRule>
  </conditionalFormatting>
  <conditionalFormatting sqref="AK6">
    <cfRule type="cellIs" dxfId="465" priority="176" operator="between">
      <formula>0.3751</formula>
      <formula>0.5625</formula>
    </cfRule>
  </conditionalFormatting>
  <conditionalFormatting sqref="AL6">
    <cfRule type="cellIs" dxfId="464" priority="175" operator="between">
      <formula>0.563</formula>
      <formula>0.7125</formula>
    </cfRule>
  </conditionalFormatting>
  <conditionalFormatting sqref="AM6">
    <cfRule type="cellIs" dxfId="463" priority="174" operator="between">
      <formula>0.713</formula>
      <formula>0.75</formula>
    </cfRule>
  </conditionalFormatting>
  <conditionalFormatting sqref="AN6">
    <cfRule type="cellIs" dxfId="462" priority="173" operator="greaterThan">
      <formula>0.755</formula>
    </cfRule>
  </conditionalFormatting>
  <conditionalFormatting sqref="AJ7">
    <cfRule type="cellIs" dxfId="461" priority="172" stopIfTrue="1" operator="between">
      <formula>0</formula>
      <formula>0.375</formula>
    </cfRule>
  </conditionalFormatting>
  <conditionalFormatting sqref="AK7">
    <cfRule type="cellIs" dxfId="460" priority="171" operator="between">
      <formula>0.3751</formula>
      <formula>0.5625</formula>
    </cfRule>
  </conditionalFormatting>
  <conditionalFormatting sqref="AL7">
    <cfRule type="cellIs" dxfId="459" priority="170" operator="between">
      <formula>0.563</formula>
      <formula>0.7125</formula>
    </cfRule>
  </conditionalFormatting>
  <conditionalFormatting sqref="AM7">
    <cfRule type="cellIs" dxfId="458" priority="169" operator="between">
      <formula>0.713</formula>
      <formula>0.75</formula>
    </cfRule>
  </conditionalFormatting>
  <conditionalFormatting sqref="AN7">
    <cfRule type="cellIs" dxfId="457" priority="168" operator="greaterThan">
      <formula>0.755</formula>
    </cfRule>
  </conditionalFormatting>
  <conditionalFormatting sqref="AJ8">
    <cfRule type="cellIs" dxfId="456" priority="167" stopIfTrue="1" operator="between">
      <formula>0</formula>
      <formula>0.375</formula>
    </cfRule>
  </conditionalFormatting>
  <conditionalFormatting sqref="AK8">
    <cfRule type="cellIs" dxfId="455" priority="166" operator="between">
      <formula>0.3751</formula>
      <formula>0.5625</formula>
    </cfRule>
  </conditionalFormatting>
  <conditionalFormatting sqref="AL8">
    <cfRule type="cellIs" dxfId="454" priority="165" operator="between">
      <formula>0.563</formula>
      <formula>0.7125</formula>
    </cfRule>
  </conditionalFormatting>
  <conditionalFormatting sqref="AM8">
    <cfRule type="cellIs" dxfId="453" priority="164" operator="between">
      <formula>0.713</formula>
      <formula>0.75</formula>
    </cfRule>
  </conditionalFormatting>
  <conditionalFormatting sqref="AN8">
    <cfRule type="cellIs" dxfId="452" priority="163" operator="greaterThan">
      <formula>0.755</formula>
    </cfRule>
  </conditionalFormatting>
  <conditionalFormatting sqref="AJ9">
    <cfRule type="cellIs" dxfId="451" priority="162" stopIfTrue="1" operator="between">
      <formula>0</formula>
      <formula>0.375</formula>
    </cfRule>
  </conditionalFormatting>
  <conditionalFormatting sqref="AK9">
    <cfRule type="cellIs" dxfId="450" priority="161" operator="between">
      <formula>0.3751</formula>
      <formula>0.5625</formula>
    </cfRule>
  </conditionalFormatting>
  <conditionalFormatting sqref="AL9">
    <cfRule type="cellIs" dxfId="449" priority="160" operator="between">
      <formula>0.563</formula>
      <formula>0.7125</formula>
    </cfRule>
  </conditionalFormatting>
  <conditionalFormatting sqref="AM9">
    <cfRule type="cellIs" dxfId="448" priority="159" operator="between">
      <formula>0.713</formula>
      <formula>0.75</formula>
    </cfRule>
  </conditionalFormatting>
  <conditionalFormatting sqref="AN9">
    <cfRule type="cellIs" dxfId="447" priority="158" operator="greaterThan">
      <formula>0.755</formula>
    </cfRule>
  </conditionalFormatting>
  <conditionalFormatting sqref="AJ10">
    <cfRule type="cellIs" dxfId="446" priority="157" stopIfTrue="1" operator="between">
      <formula>0</formula>
      <formula>0.375</formula>
    </cfRule>
  </conditionalFormatting>
  <conditionalFormatting sqref="AK10">
    <cfRule type="cellIs" dxfId="445" priority="156" operator="between">
      <formula>0.3751</formula>
      <formula>0.5625</formula>
    </cfRule>
  </conditionalFormatting>
  <conditionalFormatting sqref="AL10">
    <cfRule type="cellIs" dxfId="444" priority="155" operator="between">
      <formula>0.563</formula>
      <formula>0.7125</formula>
    </cfRule>
  </conditionalFormatting>
  <conditionalFormatting sqref="AM10">
    <cfRule type="cellIs" dxfId="443" priority="154" operator="between">
      <formula>0.713</formula>
      <formula>0.75</formula>
    </cfRule>
  </conditionalFormatting>
  <conditionalFormatting sqref="AN10">
    <cfRule type="cellIs" dxfId="442" priority="153" operator="greaterThan">
      <formula>0.755</formula>
    </cfRule>
  </conditionalFormatting>
  <conditionalFormatting sqref="AJ11">
    <cfRule type="cellIs" dxfId="441" priority="152" stopIfTrue="1" operator="between">
      <formula>0</formula>
      <formula>0.375</formula>
    </cfRule>
  </conditionalFormatting>
  <conditionalFormatting sqref="AK11">
    <cfRule type="cellIs" dxfId="440" priority="151" operator="between">
      <formula>0.3751</formula>
      <formula>0.5625</formula>
    </cfRule>
  </conditionalFormatting>
  <conditionalFormatting sqref="AL11">
    <cfRule type="cellIs" dxfId="439" priority="150" operator="between">
      <formula>0.563</formula>
      <formula>0.7125</formula>
    </cfRule>
  </conditionalFormatting>
  <conditionalFormatting sqref="AM11">
    <cfRule type="cellIs" dxfId="438" priority="149" operator="between">
      <formula>0.713</formula>
      <formula>0.75</formula>
    </cfRule>
  </conditionalFormatting>
  <conditionalFormatting sqref="AN11">
    <cfRule type="cellIs" dxfId="437" priority="148" operator="greaterThan">
      <formula>0.755</formula>
    </cfRule>
  </conditionalFormatting>
  <conditionalFormatting sqref="AJ12">
    <cfRule type="cellIs" dxfId="436" priority="147" stopIfTrue="1" operator="between">
      <formula>0</formula>
      <formula>0.375</formula>
    </cfRule>
  </conditionalFormatting>
  <conditionalFormatting sqref="AK12">
    <cfRule type="cellIs" dxfId="435" priority="146" operator="between">
      <formula>0.3751</formula>
      <formula>0.5625</formula>
    </cfRule>
  </conditionalFormatting>
  <conditionalFormatting sqref="AL12">
    <cfRule type="cellIs" dxfId="434" priority="145" operator="between">
      <formula>0.563</formula>
      <formula>0.7125</formula>
    </cfRule>
  </conditionalFormatting>
  <conditionalFormatting sqref="AM12">
    <cfRule type="cellIs" dxfId="433" priority="144" operator="between">
      <formula>0.713</formula>
      <formula>0.75</formula>
    </cfRule>
  </conditionalFormatting>
  <conditionalFormatting sqref="AN12">
    <cfRule type="cellIs" dxfId="432" priority="143" operator="greaterThan">
      <formula>0.755</formula>
    </cfRule>
  </conditionalFormatting>
  <conditionalFormatting sqref="AJ13">
    <cfRule type="cellIs" dxfId="431" priority="142" stopIfTrue="1" operator="between">
      <formula>0</formula>
      <formula>0.375</formula>
    </cfRule>
  </conditionalFormatting>
  <conditionalFormatting sqref="AK13">
    <cfRule type="cellIs" dxfId="430" priority="141" operator="between">
      <formula>0.3751</formula>
      <formula>0.5625</formula>
    </cfRule>
  </conditionalFormatting>
  <conditionalFormatting sqref="AL13">
    <cfRule type="cellIs" dxfId="429" priority="140" operator="between">
      <formula>0.563</formula>
      <formula>0.7125</formula>
    </cfRule>
  </conditionalFormatting>
  <conditionalFormatting sqref="AM13">
    <cfRule type="cellIs" dxfId="428" priority="139" operator="between">
      <formula>0.713</formula>
      <formula>0.75</formula>
    </cfRule>
  </conditionalFormatting>
  <conditionalFormatting sqref="AN13">
    <cfRule type="cellIs" dxfId="427" priority="138" operator="greaterThan">
      <formula>0.755</formula>
    </cfRule>
  </conditionalFormatting>
  <conditionalFormatting sqref="AJ14">
    <cfRule type="cellIs" dxfId="426" priority="137" stopIfTrue="1" operator="between">
      <formula>0</formula>
      <formula>0.375</formula>
    </cfRule>
  </conditionalFormatting>
  <conditionalFormatting sqref="AK14">
    <cfRule type="cellIs" dxfId="425" priority="136" operator="between">
      <formula>0.3751</formula>
      <formula>0.5625</formula>
    </cfRule>
  </conditionalFormatting>
  <conditionalFormatting sqref="AL14">
    <cfRule type="cellIs" dxfId="424" priority="135" operator="between">
      <formula>0.563</formula>
      <formula>0.7125</formula>
    </cfRule>
  </conditionalFormatting>
  <conditionalFormatting sqref="AM14">
    <cfRule type="cellIs" dxfId="423" priority="134" operator="between">
      <formula>0.713</formula>
      <formula>0.75</formula>
    </cfRule>
  </conditionalFormatting>
  <conditionalFormatting sqref="AN14">
    <cfRule type="cellIs" dxfId="422" priority="133" operator="greaterThan">
      <formula>0.755</formula>
    </cfRule>
  </conditionalFormatting>
  <conditionalFormatting sqref="AQ6">
    <cfRule type="cellIs" dxfId="421" priority="132" stopIfTrue="1" operator="between">
      <formula>0</formula>
      <formula>0.5</formula>
    </cfRule>
  </conditionalFormatting>
  <conditionalFormatting sqref="AR6">
    <cfRule type="cellIs" dxfId="420" priority="131" operator="between">
      <formula>0.51</formula>
      <formula>0.75</formula>
    </cfRule>
  </conditionalFormatting>
  <conditionalFormatting sqref="AS6">
    <cfRule type="cellIs" dxfId="419" priority="130" operator="between">
      <formula>0.76</formula>
      <formula>0.95</formula>
    </cfRule>
  </conditionalFormatting>
  <conditionalFormatting sqref="AT6">
    <cfRule type="cellIs" dxfId="418" priority="129" operator="between">
      <formula>0.95</formula>
      <formula>1</formula>
    </cfRule>
  </conditionalFormatting>
  <conditionalFormatting sqref="AU6">
    <cfRule type="cellIs" dxfId="417" priority="128" operator="greaterThan">
      <formula>1</formula>
    </cfRule>
  </conditionalFormatting>
  <conditionalFormatting sqref="AQ7">
    <cfRule type="cellIs" dxfId="416" priority="127" stopIfTrue="1" operator="between">
      <formula>0</formula>
      <formula>0.5</formula>
    </cfRule>
  </conditionalFormatting>
  <conditionalFormatting sqref="AR7">
    <cfRule type="cellIs" dxfId="415" priority="126" operator="between">
      <formula>0.51</formula>
      <formula>0.75</formula>
    </cfRule>
  </conditionalFormatting>
  <conditionalFormatting sqref="AS7">
    <cfRule type="cellIs" dxfId="414" priority="125" operator="between">
      <formula>0.76</formula>
      <formula>0.95</formula>
    </cfRule>
  </conditionalFormatting>
  <conditionalFormatting sqref="AT7">
    <cfRule type="cellIs" dxfId="413" priority="124" operator="between">
      <formula>0.95</formula>
      <formula>1</formula>
    </cfRule>
  </conditionalFormatting>
  <conditionalFormatting sqref="AU7">
    <cfRule type="cellIs" dxfId="412" priority="123" operator="greaterThan">
      <formula>1</formula>
    </cfRule>
  </conditionalFormatting>
  <conditionalFormatting sqref="AQ8">
    <cfRule type="cellIs" dxfId="411" priority="122" stopIfTrue="1" operator="between">
      <formula>0</formula>
      <formula>0.5</formula>
    </cfRule>
  </conditionalFormatting>
  <conditionalFormatting sqref="AR8">
    <cfRule type="cellIs" dxfId="410" priority="121" operator="between">
      <formula>0.51</formula>
      <formula>0.75</formula>
    </cfRule>
  </conditionalFormatting>
  <conditionalFormatting sqref="AS8">
    <cfRule type="cellIs" dxfId="409" priority="120" operator="between">
      <formula>0.76</formula>
      <formula>0.95</formula>
    </cfRule>
  </conditionalFormatting>
  <conditionalFormatting sqref="AT8">
    <cfRule type="cellIs" dxfId="408" priority="119" operator="between">
      <formula>0.95</formula>
      <formula>1</formula>
    </cfRule>
  </conditionalFormatting>
  <conditionalFormatting sqref="AU8">
    <cfRule type="cellIs" dxfId="407" priority="118" operator="greaterThan">
      <formula>1</formula>
    </cfRule>
  </conditionalFormatting>
  <conditionalFormatting sqref="AQ9">
    <cfRule type="cellIs" dxfId="406" priority="117" stopIfTrue="1" operator="between">
      <formula>0</formula>
      <formula>0.5</formula>
    </cfRule>
  </conditionalFormatting>
  <conditionalFormatting sqref="AR9">
    <cfRule type="cellIs" dxfId="405" priority="116" operator="between">
      <formula>0.51</formula>
      <formula>0.75</formula>
    </cfRule>
  </conditionalFormatting>
  <conditionalFormatting sqref="AS9">
    <cfRule type="cellIs" dxfId="404" priority="115" operator="between">
      <formula>0.76</formula>
      <formula>0.95</formula>
    </cfRule>
  </conditionalFormatting>
  <conditionalFormatting sqref="AT9">
    <cfRule type="cellIs" dxfId="403" priority="114" operator="between">
      <formula>0.95</formula>
      <formula>1</formula>
    </cfRule>
  </conditionalFormatting>
  <conditionalFormatting sqref="AU9">
    <cfRule type="cellIs" dxfId="402" priority="113" operator="greaterThan">
      <formula>1</formula>
    </cfRule>
  </conditionalFormatting>
  <conditionalFormatting sqref="AQ10">
    <cfRule type="cellIs" dxfId="401" priority="112" stopIfTrue="1" operator="between">
      <formula>0</formula>
      <formula>0.5</formula>
    </cfRule>
  </conditionalFormatting>
  <conditionalFormatting sqref="AR10">
    <cfRule type="cellIs" dxfId="400" priority="111" operator="between">
      <formula>0.51</formula>
      <formula>0.75</formula>
    </cfRule>
  </conditionalFormatting>
  <conditionalFormatting sqref="AS10">
    <cfRule type="cellIs" dxfId="399" priority="110" operator="between">
      <formula>0.76</formula>
      <formula>0.95</formula>
    </cfRule>
  </conditionalFormatting>
  <conditionalFormatting sqref="AT10">
    <cfRule type="cellIs" dxfId="398" priority="109" operator="between">
      <formula>0.95</formula>
      <formula>1</formula>
    </cfRule>
  </conditionalFormatting>
  <conditionalFormatting sqref="AU10">
    <cfRule type="cellIs" dxfId="397" priority="108" operator="greaterThan">
      <formula>1</formula>
    </cfRule>
  </conditionalFormatting>
  <conditionalFormatting sqref="AQ11">
    <cfRule type="cellIs" dxfId="396" priority="107" stopIfTrue="1" operator="between">
      <formula>0</formula>
      <formula>0.5</formula>
    </cfRule>
  </conditionalFormatting>
  <conditionalFormatting sqref="AR11">
    <cfRule type="cellIs" dxfId="395" priority="106" operator="between">
      <formula>0.51</formula>
      <formula>0.75</formula>
    </cfRule>
  </conditionalFormatting>
  <conditionalFormatting sqref="AS11">
    <cfRule type="cellIs" dxfId="394" priority="105" operator="between">
      <formula>0.76</formula>
      <formula>0.95</formula>
    </cfRule>
  </conditionalFormatting>
  <conditionalFormatting sqref="AT11">
    <cfRule type="cellIs" dxfId="393" priority="104" operator="between">
      <formula>0.95</formula>
      <formula>1</formula>
    </cfRule>
  </conditionalFormatting>
  <conditionalFormatting sqref="AU11">
    <cfRule type="cellIs" dxfId="392" priority="103" operator="greaterThan">
      <formula>1</formula>
    </cfRule>
  </conditionalFormatting>
  <conditionalFormatting sqref="AQ12">
    <cfRule type="cellIs" dxfId="391" priority="102" stopIfTrue="1" operator="between">
      <formula>0</formula>
      <formula>0.5</formula>
    </cfRule>
  </conditionalFormatting>
  <conditionalFormatting sqref="AR12">
    <cfRule type="cellIs" dxfId="390" priority="101" operator="between">
      <formula>0.51</formula>
      <formula>0.75</formula>
    </cfRule>
  </conditionalFormatting>
  <conditionalFormatting sqref="AS12">
    <cfRule type="cellIs" dxfId="389" priority="100" operator="between">
      <formula>0.76</formula>
      <formula>0.95</formula>
    </cfRule>
  </conditionalFormatting>
  <conditionalFormatting sqref="AT12">
    <cfRule type="cellIs" dxfId="388" priority="99" operator="between">
      <formula>0.95</formula>
      <formula>1</formula>
    </cfRule>
  </conditionalFormatting>
  <conditionalFormatting sqref="AU12">
    <cfRule type="cellIs" dxfId="387" priority="98" operator="greaterThan">
      <formula>1</formula>
    </cfRule>
  </conditionalFormatting>
  <conditionalFormatting sqref="AQ13">
    <cfRule type="cellIs" dxfId="386" priority="97" stopIfTrue="1" operator="between">
      <formula>0</formula>
      <formula>0.5</formula>
    </cfRule>
  </conditionalFormatting>
  <conditionalFormatting sqref="AR13">
    <cfRule type="cellIs" dxfId="385" priority="96" operator="between">
      <formula>0.51</formula>
      <formula>0.75</formula>
    </cfRule>
  </conditionalFormatting>
  <conditionalFormatting sqref="AS13">
    <cfRule type="cellIs" dxfId="384" priority="95" operator="between">
      <formula>0.76</formula>
      <formula>0.95</formula>
    </cfRule>
  </conditionalFormatting>
  <conditionalFormatting sqref="AT13">
    <cfRule type="cellIs" dxfId="383" priority="94" operator="between">
      <formula>0.95</formula>
      <formula>1</formula>
    </cfRule>
  </conditionalFormatting>
  <conditionalFormatting sqref="AU13">
    <cfRule type="cellIs" dxfId="382" priority="93" operator="greaterThan">
      <formula>1</formula>
    </cfRule>
  </conditionalFormatting>
  <conditionalFormatting sqref="AQ14">
    <cfRule type="cellIs" dxfId="381" priority="92" stopIfTrue="1" operator="between">
      <formula>0</formula>
      <formula>0.5</formula>
    </cfRule>
  </conditionalFormatting>
  <conditionalFormatting sqref="AR14">
    <cfRule type="cellIs" dxfId="380" priority="91" operator="between">
      <formula>0.51</formula>
      <formula>0.75</formula>
    </cfRule>
  </conditionalFormatting>
  <conditionalFormatting sqref="AS14">
    <cfRule type="cellIs" dxfId="379" priority="90" operator="between">
      <formula>0.76</formula>
      <formula>0.95</formula>
    </cfRule>
  </conditionalFormatting>
  <conditionalFormatting sqref="AT14">
    <cfRule type="cellIs" dxfId="378" priority="89" operator="between">
      <formula>0.95</formula>
      <formula>1</formula>
    </cfRule>
  </conditionalFormatting>
  <conditionalFormatting sqref="AU14">
    <cfRule type="cellIs" dxfId="377" priority="88" operator="greaterThan">
      <formula>1</formula>
    </cfRule>
  </conditionalFormatting>
  <conditionalFormatting sqref="AX6">
    <cfRule type="cellIs" dxfId="376" priority="87" operator="between">
      <formula>0.501</formula>
      <formula>0.75</formula>
    </cfRule>
  </conditionalFormatting>
  <conditionalFormatting sqref="AY6">
    <cfRule type="cellIs" dxfId="375" priority="86" operator="between">
      <formula>0.76</formula>
      <formula>0.95</formula>
    </cfRule>
  </conditionalFormatting>
  <conditionalFormatting sqref="AZ6">
    <cfRule type="cellIs" dxfId="374" priority="85" operator="between">
      <formula>0.95</formula>
      <formula>1</formula>
    </cfRule>
  </conditionalFormatting>
  <conditionalFormatting sqref="BA6">
    <cfRule type="cellIs" dxfId="373" priority="84" operator="greaterThan">
      <formula>1</formula>
    </cfRule>
  </conditionalFormatting>
  <conditionalFormatting sqref="AW6">
    <cfRule type="cellIs" dxfId="372" priority="83" stopIfTrue="1" operator="between">
      <formula>0</formula>
      <formula>0.5</formula>
    </cfRule>
  </conditionalFormatting>
  <conditionalFormatting sqref="AX7">
    <cfRule type="cellIs" dxfId="371" priority="82" operator="between">
      <formula>0.501</formula>
      <formula>0.75</formula>
    </cfRule>
  </conditionalFormatting>
  <conditionalFormatting sqref="AY7">
    <cfRule type="cellIs" dxfId="370" priority="81" operator="between">
      <formula>0.76</formula>
      <formula>0.95</formula>
    </cfRule>
  </conditionalFormatting>
  <conditionalFormatting sqref="AZ7">
    <cfRule type="cellIs" dxfId="369" priority="80" operator="between">
      <formula>0.95</formula>
      <formula>1</formula>
    </cfRule>
  </conditionalFormatting>
  <conditionalFormatting sqref="BA7">
    <cfRule type="cellIs" dxfId="368" priority="79" operator="greaterThan">
      <formula>1</formula>
    </cfRule>
  </conditionalFormatting>
  <conditionalFormatting sqref="AW7">
    <cfRule type="cellIs" dxfId="367" priority="78" stopIfTrue="1" operator="between">
      <formula>0</formula>
      <formula>0.5</formula>
    </cfRule>
  </conditionalFormatting>
  <conditionalFormatting sqref="AX8">
    <cfRule type="cellIs" dxfId="366" priority="77" operator="between">
      <formula>0.501</formula>
      <formula>0.75</formula>
    </cfRule>
  </conditionalFormatting>
  <conditionalFormatting sqref="AY8">
    <cfRule type="cellIs" dxfId="365" priority="76" operator="between">
      <formula>0.76</formula>
      <formula>0.95</formula>
    </cfRule>
  </conditionalFormatting>
  <conditionalFormatting sqref="AZ8">
    <cfRule type="cellIs" dxfId="364" priority="75" operator="between">
      <formula>0.95</formula>
      <formula>1</formula>
    </cfRule>
  </conditionalFormatting>
  <conditionalFormatting sqref="BA8">
    <cfRule type="cellIs" dxfId="363" priority="74" operator="greaterThan">
      <formula>1</formula>
    </cfRule>
  </conditionalFormatting>
  <conditionalFormatting sqref="AW8">
    <cfRule type="cellIs" dxfId="362" priority="73" stopIfTrue="1" operator="between">
      <formula>0</formula>
      <formula>0.5</formula>
    </cfRule>
  </conditionalFormatting>
  <conditionalFormatting sqref="AX9">
    <cfRule type="cellIs" dxfId="361" priority="72" operator="between">
      <formula>0.501</formula>
      <formula>0.75</formula>
    </cfRule>
  </conditionalFormatting>
  <conditionalFormatting sqref="AY9">
    <cfRule type="cellIs" dxfId="360" priority="71" operator="between">
      <formula>0.76</formula>
      <formula>0.95</formula>
    </cfRule>
  </conditionalFormatting>
  <conditionalFormatting sqref="AZ9">
    <cfRule type="cellIs" dxfId="359" priority="70" operator="between">
      <formula>0.95</formula>
      <formula>1</formula>
    </cfRule>
  </conditionalFormatting>
  <conditionalFormatting sqref="BA9">
    <cfRule type="cellIs" dxfId="358" priority="69" operator="greaterThan">
      <formula>1</formula>
    </cfRule>
  </conditionalFormatting>
  <conditionalFormatting sqref="AW9">
    <cfRule type="cellIs" dxfId="357" priority="68" stopIfTrue="1" operator="between">
      <formula>0</formula>
      <formula>0.5</formula>
    </cfRule>
  </conditionalFormatting>
  <conditionalFormatting sqref="AX10">
    <cfRule type="cellIs" dxfId="356" priority="67" operator="between">
      <formula>0.501</formula>
      <formula>0.75</formula>
    </cfRule>
  </conditionalFormatting>
  <conditionalFormatting sqref="AY10">
    <cfRule type="cellIs" dxfId="355" priority="66" operator="between">
      <formula>0.76</formula>
      <formula>0.95</formula>
    </cfRule>
  </conditionalFormatting>
  <conditionalFormatting sqref="AZ10">
    <cfRule type="cellIs" dxfId="354" priority="65" operator="between">
      <formula>0.95</formula>
      <formula>1</formula>
    </cfRule>
  </conditionalFormatting>
  <conditionalFormatting sqref="BA10">
    <cfRule type="cellIs" dxfId="353" priority="64" operator="greaterThan">
      <formula>1</formula>
    </cfRule>
  </conditionalFormatting>
  <conditionalFormatting sqref="AW10">
    <cfRule type="cellIs" dxfId="352" priority="63" stopIfTrue="1" operator="between">
      <formula>0</formula>
      <formula>0.5</formula>
    </cfRule>
  </conditionalFormatting>
  <conditionalFormatting sqref="AX11">
    <cfRule type="cellIs" dxfId="351" priority="62" operator="between">
      <formula>0.501</formula>
      <formula>0.75</formula>
    </cfRule>
  </conditionalFormatting>
  <conditionalFormatting sqref="AY11">
    <cfRule type="cellIs" dxfId="350" priority="61" operator="between">
      <formula>0.76</formula>
      <formula>0.95</formula>
    </cfRule>
  </conditionalFormatting>
  <conditionalFormatting sqref="AZ11">
    <cfRule type="cellIs" dxfId="349" priority="60" operator="between">
      <formula>0.95</formula>
      <formula>1</formula>
    </cfRule>
  </conditionalFormatting>
  <conditionalFormatting sqref="BA11">
    <cfRule type="cellIs" dxfId="348" priority="59" operator="greaterThan">
      <formula>1</formula>
    </cfRule>
  </conditionalFormatting>
  <conditionalFormatting sqref="AW11">
    <cfRule type="cellIs" dxfId="347" priority="58" stopIfTrue="1" operator="between">
      <formula>0</formula>
      <formula>0.5</formula>
    </cfRule>
  </conditionalFormatting>
  <conditionalFormatting sqref="AX12">
    <cfRule type="cellIs" dxfId="346" priority="57" operator="between">
      <formula>0.501</formula>
      <formula>0.75</formula>
    </cfRule>
  </conditionalFormatting>
  <conditionalFormatting sqref="AY12">
    <cfRule type="cellIs" dxfId="345" priority="56" operator="between">
      <formula>0.76</formula>
      <formula>0.95</formula>
    </cfRule>
  </conditionalFormatting>
  <conditionalFormatting sqref="AZ12">
    <cfRule type="cellIs" dxfId="344" priority="55" operator="between">
      <formula>0.95</formula>
      <formula>1</formula>
    </cfRule>
  </conditionalFormatting>
  <conditionalFormatting sqref="BA12">
    <cfRule type="cellIs" dxfId="343" priority="54" operator="greaterThan">
      <formula>1</formula>
    </cfRule>
  </conditionalFormatting>
  <conditionalFormatting sqref="AW12">
    <cfRule type="cellIs" dxfId="342" priority="53" stopIfTrue="1" operator="between">
      <formula>0</formula>
      <formula>0.5</formula>
    </cfRule>
  </conditionalFormatting>
  <conditionalFormatting sqref="AX13">
    <cfRule type="cellIs" dxfId="341" priority="52" operator="between">
      <formula>0.501</formula>
      <formula>0.75</formula>
    </cfRule>
  </conditionalFormatting>
  <conditionalFormatting sqref="AY13">
    <cfRule type="cellIs" dxfId="340" priority="51" operator="between">
      <formula>0.76</formula>
      <formula>0.95</formula>
    </cfRule>
  </conditionalFormatting>
  <conditionalFormatting sqref="AZ13">
    <cfRule type="cellIs" dxfId="339" priority="50" operator="between">
      <formula>0.95</formula>
      <formula>1</formula>
    </cfRule>
  </conditionalFormatting>
  <conditionalFormatting sqref="BA13">
    <cfRule type="cellIs" dxfId="338" priority="49" operator="greaterThan">
      <formula>1</formula>
    </cfRule>
  </conditionalFormatting>
  <conditionalFormatting sqref="AW13">
    <cfRule type="cellIs" dxfId="337" priority="48" stopIfTrue="1" operator="between">
      <formula>0</formula>
      <formula>0.5</formula>
    </cfRule>
  </conditionalFormatting>
  <conditionalFormatting sqref="AX14">
    <cfRule type="cellIs" dxfId="336" priority="47" operator="between">
      <formula>0.501</formula>
      <formula>0.75</formula>
    </cfRule>
  </conditionalFormatting>
  <conditionalFormatting sqref="AY14">
    <cfRule type="cellIs" dxfId="335" priority="46" operator="between">
      <formula>0.76</formula>
      <formula>0.95</formula>
    </cfRule>
  </conditionalFormatting>
  <conditionalFormatting sqref="AZ14">
    <cfRule type="cellIs" dxfId="334" priority="45" operator="between">
      <formula>0.95</formula>
      <formula>1</formula>
    </cfRule>
  </conditionalFormatting>
  <conditionalFormatting sqref="BA14">
    <cfRule type="cellIs" dxfId="333" priority="44" operator="greaterThan">
      <formula>1</formula>
    </cfRule>
  </conditionalFormatting>
  <conditionalFormatting sqref="AW14">
    <cfRule type="cellIs" dxfId="332" priority="43" stopIfTrue="1" operator="between">
      <formula>0</formula>
      <formula>0.5</formula>
    </cfRule>
  </conditionalFormatting>
  <conditionalFormatting sqref="W6">
    <cfRule type="cellIs" dxfId="331" priority="42" stopIfTrue="1" operator="between">
      <formula>0</formula>
      <formula>0.255</formula>
    </cfRule>
  </conditionalFormatting>
  <conditionalFormatting sqref="X6">
    <cfRule type="cellIs" dxfId="330" priority="41" operator="between">
      <formula>0.2551</formula>
      <formula>0.375</formula>
    </cfRule>
  </conditionalFormatting>
  <conditionalFormatting sqref="Y6">
    <cfRule type="cellIs" dxfId="329" priority="40" operator="between">
      <formula>0.3751</formula>
      <formula>0.475</formula>
    </cfRule>
  </conditionalFormatting>
  <conditionalFormatting sqref="Z6">
    <cfRule type="cellIs" dxfId="328" priority="39" operator="between">
      <formula>0.4751</formula>
      <formula>0.51</formula>
    </cfRule>
  </conditionalFormatting>
  <conditionalFormatting sqref="AA6">
    <cfRule type="cellIs" dxfId="327" priority="38" operator="greaterThan">
      <formula>0.505</formula>
    </cfRule>
  </conditionalFormatting>
  <conditionalFormatting sqref="AB8">
    <cfRule type="cellIs" dxfId="326" priority="37" operator="greaterThan">
      <formula>0.505</formula>
    </cfRule>
  </conditionalFormatting>
  <conditionalFormatting sqref="W8">
    <cfRule type="cellIs" dxfId="325" priority="36" stopIfTrue="1" operator="between">
      <formula>0</formula>
      <formula>0.255</formula>
    </cfRule>
  </conditionalFormatting>
  <conditionalFormatting sqref="X8">
    <cfRule type="cellIs" dxfId="324" priority="35" operator="between">
      <formula>0.2551</formula>
      <formula>0.375</formula>
    </cfRule>
  </conditionalFormatting>
  <conditionalFormatting sqref="Y8">
    <cfRule type="cellIs" dxfId="323" priority="34" operator="between">
      <formula>0.3751</formula>
      <formula>0.475</formula>
    </cfRule>
  </conditionalFormatting>
  <conditionalFormatting sqref="Z8">
    <cfRule type="cellIs" dxfId="322" priority="33" operator="between">
      <formula>0.48</formula>
      <formula>0.51</formula>
    </cfRule>
  </conditionalFormatting>
  <conditionalFormatting sqref="D6">
    <cfRule type="cellIs" dxfId="321" priority="31" stopIfTrue="1" operator="between">
      <formula>0</formula>
      <formula>0.5</formula>
    </cfRule>
  </conditionalFormatting>
  <conditionalFormatting sqref="E6">
    <cfRule type="cellIs" dxfId="320" priority="30" operator="between">
      <formula>0.51</formula>
      <formula>0.75</formula>
    </cfRule>
  </conditionalFormatting>
  <conditionalFormatting sqref="F6">
    <cfRule type="cellIs" dxfId="319" priority="29" operator="between">
      <formula>0.76</formula>
      <formula>0.95</formula>
    </cfRule>
  </conditionalFormatting>
  <conditionalFormatting sqref="G6">
    <cfRule type="cellIs" dxfId="318" priority="28" operator="between">
      <formula>0.96</formula>
      <formula>1</formula>
    </cfRule>
  </conditionalFormatting>
  <conditionalFormatting sqref="H6">
    <cfRule type="cellIs" dxfId="317" priority="27" operator="greaterThan">
      <formula>1</formula>
    </cfRule>
  </conditionalFormatting>
  <conditionalFormatting sqref="D7">
    <cfRule type="cellIs" dxfId="316" priority="26" stopIfTrue="1" operator="between">
      <formula>0</formula>
      <formula>0.5</formula>
    </cfRule>
  </conditionalFormatting>
  <conditionalFormatting sqref="E7">
    <cfRule type="cellIs" dxfId="315" priority="25" operator="between">
      <formula>0.51</formula>
      <formula>0.75</formula>
    </cfRule>
  </conditionalFormatting>
  <conditionalFormatting sqref="F7">
    <cfRule type="cellIs" dxfId="314" priority="24" operator="between">
      <formula>0.76</formula>
      <formula>0.95</formula>
    </cfRule>
  </conditionalFormatting>
  <conditionalFormatting sqref="G7">
    <cfRule type="cellIs" dxfId="313" priority="23" operator="between">
      <formula>0.96</formula>
      <formula>1</formula>
    </cfRule>
  </conditionalFormatting>
  <conditionalFormatting sqref="H7">
    <cfRule type="cellIs" dxfId="312" priority="22" operator="greaterThan">
      <formula>1</formula>
    </cfRule>
  </conditionalFormatting>
  <conditionalFormatting sqref="D8:D14">
    <cfRule type="cellIs" dxfId="311" priority="21" stopIfTrue="1" operator="between">
      <formula>0</formula>
      <formula>0.5</formula>
    </cfRule>
  </conditionalFormatting>
  <conditionalFormatting sqref="E8:E14">
    <cfRule type="cellIs" dxfId="310" priority="20" operator="between">
      <formula>0.51</formula>
      <formula>0.75</formula>
    </cfRule>
  </conditionalFormatting>
  <conditionalFormatting sqref="F8:F14">
    <cfRule type="cellIs" dxfId="309" priority="19" operator="between">
      <formula>0.76</formula>
      <formula>0.95</formula>
    </cfRule>
  </conditionalFormatting>
  <conditionalFormatting sqref="G8:G14">
    <cfRule type="cellIs" dxfId="308" priority="18" operator="between">
      <formula>0.96</formula>
      <formula>1</formula>
    </cfRule>
  </conditionalFormatting>
  <conditionalFormatting sqref="H8:H14">
    <cfRule type="cellIs" dxfId="307" priority="17" operator="greaterThan">
      <formula>1</formula>
    </cfRule>
  </conditionalFormatting>
  <conditionalFormatting sqref="J6">
    <cfRule type="cellIs" dxfId="306" priority="16" stopIfTrue="1" operator="between">
      <formula>0</formula>
      <formula>0.125</formula>
    </cfRule>
  </conditionalFormatting>
  <conditionalFormatting sqref="K6">
    <cfRule type="cellIs" dxfId="305" priority="15" operator="between">
      <formula>0.1251</formula>
      <formula>0.1875</formula>
    </cfRule>
  </conditionalFormatting>
  <conditionalFormatting sqref="L6">
    <cfRule type="cellIs" dxfId="304" priority="14" operator="between">
      <formula>0.1876</formula>
      <formula>0.2375</formula>
    </cfRule>
  </conditionalFormatting>
  <conditionalFormatting sqref="M6">
    <cfRule type="cellIs" dxfId="303" priority="13" operator="between">
      <formula>0.2376</formula>
      <formula>0.25</formula>
    </cfRule>
  </conditionalFormatting>
  <conditionalFormatting sqref="N6">
    <cfRule type="cellIs" dxfId="302" priority="12" operator="greaterThan">
      <formula>0.25</formula>
    </cfRule>
  </conditionalFormatting>
  <conditionalFormatting sqref="J7">
    <cfRule type="cellIs" dxfId="301" priority="11" stopIfTrue="1" operator="between">
      <formula>0</formula>
      <formula>0.125</formula>
    </cfRule>
  </conditionalFormatting>
  <conditionalFormatting sqref="K7">
    <cfRule type="cellIs" dxfId="300" priority="10" operator="between">
      <formula>0.1251</formula>
      <formula>0.1875</formula>
    </cfRule>
  </conditionalFormatting>
  <conditionalFormatting sqref="L7">
    <cfRule type="cellIs" dxfId="299" priority="9" operator="between">
      <formula>0.1876</formula>
      <formula>0.2375</formula>
    </cfRule>
  </conditionalFormatting>
  <conditionalFormatting sqref="M7">
    <cfRule type="cellIs" dxfId="298" priority="8" operator="between">
      <formula>0.2376</formula>
      <formula>0.25</formula>
    </cfRule>
  </conditionalFormatting>
  <conditionalFormatting sqref="N7">
    <cfRule type="cellIs" dxfId="297" priority="7" operator="greaterThan">
      <formula>0.25</formula>
    </cfRule>
  </conditionalFormatting>
  <conditionalFormatting sqref="J8:J14">
    <cfRule type="cellIs" dxfId="296" priority="6" stopIfTrue="1" operator="between">
      <formula>0</formula>
      <formula>0.125</formula>
    </cfRule>
  </conditionalFormatting>
  <conditionalFormatting sqref="K8:K14">
    <cfRule type="cellIs" dxfId="295" priority="5" operator="between">
      <formula>0.1251</formula>
      <formula>0.1875</formula>
    </cfRule>
  </conditionalFormatting>
  <conditionalFormatting sqref="L8:L14">
    <cfRule type="cellIs" dxfId="294" priority="4" operator="between">
      <formula>0.1876</formula>
      <formula>0.2375</formula>
    </cfRule>
  </conditionalFormatting>
  <conditionalFormatting sqref="M8:M14">
    <cfRule type="cellIs" dxfId="293" priority="3" operator="between">
      <formula>0.2376</formula>
      <formula>0.25</formula>
    </cfRule>
  </conditionalFormatting>
  <conditionalFormatting sqref="N8:N14">
    <cfRule type="cellIs" dxfId="292" priority="2" operator="greaterThan">
      <formula>0.25</formula>
    </cfRule>
  </conditionalFormatting>
  <conditionalFormatting sqref="AA8">
    <cfRule type="cellIs" dxfId="291"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zoomScale="80" zoomScaleNormal="80" workbookViewId="0">
      <selection activeCell="S7" sqref="S7"/>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customWidth="1"/>
    <col min="16" max="16" width="16.7109375" customWidth="1"/>
    <col min="17" max="21" width="3.28515625" customWidth="1"/>
    <col min="22" max="22" width="16.42578125" customWidth="1"/>
    <col min="23" max="27" width="3.28515625" customWidth="1"/>
    <col min="28" max="28" width="3.140625" customWidth="1"/>
    <col min="29" max="29" width="17.28515625" hidden="1" customWidth="1"/>
    <col min="30" max="34" width="3.28515625" hidden="1" customWidth="1"/>
    <col min="35" max="35" width="15.140625" hidden="1" customWidth="1"/>
    <col min="36" max="40" width="3.28515625" hidden="1" customWidth="1"/>
    <col min="41" max="41" width="2.85546875" hidden="1" customWidth="1"/>
    <col min="42" max="42" width="16.7109375" hidden="1" customWidth="1"/>
    <col min="43" max="47" width="3.28515625" hidden="1" customWidth="1"/>
    <col min="48" max="48" width="15.85546875" hidden="1" customWidth="1"/>
    <col min="49" max="53" width="3.28515625" hidden="1" customWidth="1"/>
  </cols>
  <sheetData>
    <row r="1" spans="1:53" ht="33" customHeight="1" x14ac:dyDescent="0.25">
      <c r="A1" s="1388"/>
      <c r="B1" s="1362" t="s">
        <v>246</v>
      </c>
      <c r="C1" s="1363"/>
      <c r="D1" s="1363"/>
      <c r="E1" s="1363"/>
      <c r="F1" s="1363"/>
      <c r="G1" s="1363"/>
      <c r="H1" s="1310"/>
      <c r="I1" s="1312" t="s">
        <v>247</v>
      </c>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93"/>
      <c r="AP1" s="1364"/>
      <c r="AQ1" s="1365"/>
      <c r="AR1" s="1365"/>
      <c r="AS1" s="1365"/>
      <c r="AT1" s="1365"/>
      <c r="AU1" s="1365"/>
      <c r="AV1" s="1365"/>
      <c r="AW1" s="1365"/>
      <c r="AX1" s="1365"/>
      <c r="AY1" s="1365"/>
      <c r="AZ1" s="1365"/>
      <c r="BA1" s="1366"/>
    </row>
    <row r="2" spans="1:53" ht="28.5" customHeight="1" x14ac:dyDescent="0.25">
      <c r="A2" s="1389"/>
      <c r="B2" s="1373" t="s">
        <v>248</v>
      </c>
      <c r="C2" s="1374"/>
      <c r="D2" s="1374"/>
      <c r="E2" s="1374"/>
      <c r="F2" s="1374"/>
      <c r="G2" s="1374"/>
      <c r="H2" s="1315"/>
      <c r="I2" s="1317" t="s">
        <v>209</v>
      </c>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94"/>
      <c r="AP2" s="1367"/>
      <c r="AQ2" s="1368"/>
      <c r="AR2" s="1368"/>
      <c r="AS2" s="1368"/>
      <c r="AT2" s="1368"/>
      <c r="AU2" s="1368"/>
      <c r="AV2" s="1368"/>
      <c r="AW2" s="1368"/>
      <c r="AX2" s="1368"/>
      <c r="AY2" s="1368"/>
      <c r="AZ2" s="1368"/>
      <c r="BA2" s="1369"/>
    </row>
    <row r="3" spans="1:53" ht="15.75" customHeight="1" thickBot="1" x14ac:dyDescent="0.3">
      <c r="A3" s="1390"/>
      <c r="B3" s="1375" t="s">
        <v>242</v>
      </c>
      <c r="C3" s="1325"/>
      <c r="D3" s="1325"/>
      <c r="E3" s="1325"/>
      <c r="F3" s="1325"/>
      <c r="G3" s="1325"/>
      <c r="H3" s="1320"/>
      <c r="I3" s="1322" t="s">
        <v>251</v>
      </c>
      <c r="J3" s="1325"/>
      <c r="K3" s="1325"/>
      <c r="L3" s="1325"/>
      <c r="M3" s="1325"/>
      <c r="N3" s="1320"/>
      <c r="O3" s="1376" t="s">
        <v>223</v>
      </c>
      <c r="P3" s="1377"/>
      <c r="Q3" s="1377"/>
      <c r="R3" s="1377"/>
      <c r="S3" s="1377"/>
      <c r="T3" s="1377"/>
      <c r="U3" s="1377"/>
      <c r="V3" s="1377"/>
      <c r="W3" s="1377"/>
      <c r="X3" s="1377"/>
      <c r="Y3" s="1377"/>
      <c r="Z3" s="1377"/>
      <c r="AA3" s="1377"/>
      <c r="AB3" s="1377"/>
      <c r="AC3" s="1377"/>
      <c r="AD3" s="1377"/>
      <c r="AE3" s="1377"/>
      <c r="AF3" s="1377"/>
      <c r="AG3" s="1377"/>
      <c r="AH3" s="1378"/>
      <c r="AI3" s="369" t="s">
        <v>249</v>
      </c>
      <c r="AJ3" s="1322">
        <v>1</v>
      </c>
      <c r="AK3" s="1325"/>
      <c r="AL3" s="1325"/>
      <c r="AM3" s="1325"/>
      <c r="AN3" s="1325"/>
      <c r="AO3" s="1395"/>
      <c r="AP3" s="1370"/>
      <c r="AQ3" s="1371"/>
      <c r="AR3" s="1371"/>
      <c r="AS3" s="1371"/>
      <c r="AT3" s="1371"/>
      <c r="AU3" s="1371"/>
      <c r="AV3" s="1371"/>
      <c r="AW3" s="1371"/>
      <c r="AX3" s="1371"/>
      <c r="AY3" s="1371"/>
      <c r="AZ3" s="1371"/>
      <c r="BA3" s="1372"/>
    </row>
    <row r="4" spans="1:53" ht="15.75" thickBot="1" x14ac:dyDescent="0.3"/>
    <row r="5" spans="1:53" ht="72.75" customHeight="1" thickBot="1" x14ac:dyDescent="0.3">
      <c r="A5" s="371" t="s">
        <v>232</v>
      </c>
      <c r="B5" s="443"/>
      <c r="C5" s="1384" t="s">
        <v>1200</v>
      </c>
      <c r="D5" s="1391"/>
      <c r="E5" s="1391"/>
      <c r="F5" s="1391"/>
      <c r="G5" s="1391"/>
      <c r="H5" s="1392"/>
      <c r="I5" s="1384" t="s">
        <v>1201</v>
      </c>
      <c r="J5" s="1385"/>
      <c r="K5" s="1385"/>
      <c r="L5" s="1385"/>
      <c r="M5" s="1385"/>
      <c r="N5" s="1386"/>
      <c r="O5" s="17"/>
      <c r="P5" s="1384" t="s">
        <v>1203</v>
      </c>
      <c r="Q5" s="1385"/>
      <c r="R5" s="1385"/>
      <c r="S5" s="1385"/>
      <c r="T5" s="1385"/>
      <c r="U5" s="1386"/>
      <c r="V5" s="1383" t="s">
        <v>1204</v>
      </c>
      <c r="W5" s="1383"/>
      <c r="X5" s="1383"/>
      <c r="Y5" s="1383"/>
      <c r="Z5" s="1383"/>
      <c r="AA5" s="1383"/>
      <c r="AB5" s="444"/>
      <c r="AC5" s="1387" t="s">
        <v>1205</v>
      </c>
      <c r="AD5" s="1383"/>
      <c r="AE5" s="1383"/>
      <c r="AF5" s="1383"/>
      <c r="AG5" s="1383"/>
      <c r="AH5" s="1396"/>
      <c r="AI5" s="1382" t="s">
        <v>1206</v>
      </c>
      <c r="AJ5" s="1383"/>
      <c r="AK5" s="1383"/>
      <c r="AL5" s="1383"/>
      <c r="AM5" s="1383"/>
      <c r="AN5" s="1383"/>
      <c r="AO5" s="444"/>
      <c r="AP5" s="1387" t="s">
        <v>1207</v>
      </c>
      <c r="AQ5" s="1383"/>
      <c r="AR5" s="1383"/>
      <c r="AS5" s="1383"/>
      <c r="AT5" s="1383"/>
      <c r="AU5" s="1396"/>
      <c r="AV5" s="1382" t="s">
        <v>1208</v>
      </c>
      <c r="AW5" s="1383"/>
      <c r="AX5" s="1383"/>
      <c r="AY5" s="1383"/>
      <c r="AZ5" s="1383"/>
      <c r="BA5" s="1383"/>
    </row>
    <row r="6" spans="1:53" ht="18" x14ac:dyDescent="0.25">
      <c r="A6" s="439" t="s">
        <v>330</v>
      </c>
      <c r="B6" s="445"/>
      <c r="C6" s="446">
        <f>AVERAGE('Cuadro Mando Integral Detallado'!L131,'Cuadro Mando Integral Detallado'!L136:L165,'Cuadro Mando Integral Detallado'!L176,'Cuadro Mando Integral Detallado'!L178:L179,'Cuadro Mando Integral Detallado'!L191:L192,'Cuadro Mando Integral Detallado'!L204:L236,'Cuadro Mando Integral Detallado'!L240:L243,'Cuadro Mando Integral Detallado'!L245:L248,'Cuadro Mando Integral Detallado'!L255:L256,'Cuadro Mando Integral Detallado'!L283:L286,'Cuadro Mando Integral Detallado'!L291:L292,'Cuadro Mando Integral Detallado'!L301,'Cuadro Mando Integral Detallado'!L357)</f>
        <v>0.7888443798842244</v>
      </c>
      <c r="D6" s="540">
        <f>+C6</f>
        <v>0.7888443798842244</v>
      </c>
      <c r="E6" s="532">
        <f>+C6</f>
        <v>0.7888443798842244</v>
      </c>
      <c r="F6" s="532">
        <f>+C6</f>
        <v>0.7888443798842244</v>
      </c>
      <c r="G6" s="532">
        <f>+C6</f>
        <v>0.7888443798842244</v>
      </c>
      <c r="H6" s="541">
        <f>+C6</f>
        <v>0.7888443798842244</v>
      </c>
      <c r="I6" s="446">
        <f>AVERAGE('Cuadro Mando Integral Detallado'!O131,'Cuadro Mando Integral Detallado'!O136:O165,'Cuadro Mando Integral Detallado'!O176,'Cuadro Mando Integral Detallado'!O178:O179,'Cuadro Mando Integral Detallado'!O191:O192,'Cuadro Mando Integral Detallado'!O204:O236,'Cuadro Mando Integral Detallado'!O240:O243,'Cuadro Mando Integral Detallado'!O245:O248,'Cuadro Mando Integral Detallado'!O255:O256,'Cuadro Mando Integral Detallado'!O283:O286,'Cuadro Mando Integral Detallado'!O291:O292,'Cuadro Mando Integral Detallado'!O301,'Cuadro Mando Integral Detallado'!O357)</f>
        <v>0.27069723745784308</v>
      </c>
      <c r="J6" s="529">
        <f>+I6</f>
        <v>0.27069723745784308</v>
      </c>
      <c r="K6" s="530">
        <f>+I6</f>
        <v>0.27069723745784308</v>
      </c>
      <c r="L6" s="530">
        <f>+I6</f>
        <v>0.27069723745784308</v>
      </c>
      <c r="M6" s="530">
        <f>+I6</f>
        <v>0.27069723745784308</v>
      </c>
      <c r="N6" s="531">
        <f>+I6</f>
        <v>0.27069723745784308</v>
      </c>
      <c r="O6" s="17"/>
      <c r="P6" s="446">
        <f>AVERAGE('Cuadro Mando Integral Detallado'!S131:S167,'Cuadro Mando Integral Detallado'!S176,'Cuadro Mando Integral Detallado'!S178:S181,'Cuadro Mando Integral Detallado'!S190:S192,'Cuadro Mando Integral Detallado'!S204:S218,S220:S238,'Cuadro Mando Integral Detallado'!S240,'Cuadro Mando Integral Detallado'!S242:S243,'Cuadro Mando Integral Detallado'!S245:S248,'Cuadro Mando Integral Detallado'!S255:S256,'Cuadro Mando Integral Detallado'!S280,'Cuadro Mando Integral Detallado'!S283:S286,'Cuadro Mando Integral Detallado'!S291:S292,'Cuadro Mando Integral Detallado'!S301,'Cuadro Mando Integral Detallado'!S357)</f>
        <v>0.96741833895594076</v>
      </c>
      <c r="Q6" s="535">
        <f t="shared" ref="Q6:Q18" si="0">+P6</f>
        <v>0.96741833895594076</v>
      </c>
      <c r="R6" s="533">
        <f t="shared" ref="R6:R18" si="1">+P6</f>
        <v>0.96741833895594076</v>
      </c>
      <c r="S6" s="533">
        <f t="shared" ref="S6:S18" si="2">+P6</f>
        <v>0.96741833895594076</v>
      </c>
      <c r="T6" s="533">
        <f t="shared" ref="T6:T18" si="3">+P6</f>
        <v>0.96741833895594076</v>
      </c>
      <c r="U6" s="534">
        <f t="shared" ref="U6:U18" si="4">+P6</f>
        <v>0.96741833895594076</v>
      </c>
      <c r="V6" s="446">
        <f>AVERAGE('Cuadro Mando Integral Detallado'!V131:V167,'Cuadro Mando Integral Detallado'!V176,'Cuadro Mando Integral Detallado'!V178:V181,'Cuadro Mando Integral Detallado'!V190:V192,'Cuadro Mando Integral Detallado'!V204:V238,'Cuadro Mando Integral Detallado'!V240,'Cuadro Mando Integral Detallado'!V242:V243,'Cuadro Mando Integral Detallado'!V245:V248,'Cuadro Mando Integral Detallado'!V255:V256,'Cuadro Mando Integral Detallado'!V280,'Cuadro Mando Integral Detallado'!V283:V286,'Cuadro Mando Integral Detallado'!V291:V292,'Cuadro Mando Integral Detallado'!V301,'Cuadro Mando Integral Detallado'!V357)</f>
        <v>0.45699889517990594</v>
      </c>
      <c r="W6" s="381">
        <f t="shared" ref="W6:W18" si="5">+V6</f>
        <v>0.45699889517990594</v>
      </c>
      <c r="X6" s="382">
        <f t="shared" ref="X6:X18" si="6">+V6</f>
        <v>0.45699889517990594</v>
      </c>
      <c r="Y6" s="382">
        <f t="shared" ref="Y6:Y18" si="7">+V6</f>
        <v>0.45699889517990594</v>
      </c>
      <c r="Z6" s="382">
        <f t="shared" ref="Z6:Z18" si="8">+V6</f>
        <v>0.45699889517990594</v>
      </c>
      <c r="AA6" s="383">
        <f t="shared" ref="AA6:AA9" si="9">+V6</f>
        <v>0.45699889517990594</v>
      </c>
      <c r="AB6" s="432"/>
      <c r="AC6" s="446">
        <f>AVERAGE('Cuadro Mando Integral Detallado'!Z131:Z165,'Cuadro Mando Integral Detallado'!Z176,'Cuadro Mando Integral Detallado'!Z178:Z179,'Cuadro Mando Integral Detallado'!Z191,'Cuadro Mando Integral Detallado'!Z204:Z236,'Cuadro Mando Integral Detallado'!Z240:Z243,'Cuadro Mando Integral Detallado'!Z245:Z248,'Cuadro Mando Integral Detallado'!Z255:Z256,'Cuadro Mando Integral Detallado'!Z283:Z286,'Cuadro Mando Integral Detallado'!Z291:Z292,'Cuadro Mando Integral Detallado'!Z301,'Cuadro Mando Integral Detallado'!Z357)</f>
        <v>0</v>
      </c>
      <c r="AD6" s="388">
        <f t="shared" ref="AD6:AD18" si="10">+AC6</f>
        <v>0</v>
      </c>
      <c r="AE6" s="378">
        <f t="shared" ref="AE6:AE18" si="11">+AC6</f>
        <v>0</v>
      </c>
      <c r="AF6" s="378">
        <f t="shared" ref="AF6:AF18" si="12">+AC6</f>
        <v>0</v>
      </c>
      <c r="AG6" s="378">
        <f t="shared" ref="AG6:AG18" si="13">+AC6</f>
        <v>0</v>
      </c>
      <c r="AH6" s="379">
        <f t="shared" ref="AH6:AH18" si="14">+AC6</f>
        <v>0</v>
      </c>
      <c r="AI6" s="446" t="e">
        <f>AVERAGE('Cuadro Mando Integral Detallado'!AC131:AC165,'Cuadro Mando Integral Detallado'!AC176,'Cuadro Mando Integral Detallado'!AC178:AC179,'Cuadro Mando Integral Detallado'!AC191,'Cuadro Mando Integral Detallado'!AC204:AC236,'Cuadro Mando Integral Detallado'!AC240:AC243,'Cuadro Mando Integral Detallado'!AC245:AC248,'Cuadro Mando Integral Detallado'!AC255:AC256,'Cuadro Mando Integral Detallado'!AC283:AC286,'Cuadro Mando Integral Detallado'!AC291:AC292,'Cuadro Mando Integral Detallado'!AC301,'Cuadro Mando Integral Detallado'!AC357)</f>
        <v>#VALUE!</v>
      </c>
      <c r="AJ6" s="388" t="e">
        <f t="shared" ref="AJ6:AJ18" si="15">+AI6</f>
        <v>#VALUE!</v>
      </c>
      <c r="AK6" s="382" t="e">
        <f t="shared" ref="AK6:AK18" si="16">+AI6</f>
        <v>#VALUE!</v>
      </c>
      <c r="AL6" s="382" t="e">
        <f t="shared" ref="AL6:AL18" si="17">+AI6</f>
        <v>#VALUE!</v>
      </c>
      <c r="AM6" s="382" t="e">
        <f t="shared" ref="AM6:AM18" si="18">+AI6</f>
        <v>#VALUE!</v>
      </c>
      <c r="AN6" s="383" t="e">
        <f t="shared" ref="AN6:AN18" si="19">+AI6</f>
        <v>#VALUE!</v>
      </c>
      <c r="AO6" s="432"/>
      <c r="AP6" s="446">
        <f>AVERAGE('Cuadro Mando Integral Detallado'!AG131:AG165,'Cuadro Mando Integral Detallado'!AG176,'Cuadro Mando Integral Detallado'!AG178:AG179,'Cuadro Mando Integral Detallado'!AG191,'Cuadro Mando Integral Detallado'!AG204:AG236,'Cuadro Mando Integral Detallado'!AG240:AG243,'Cuadro Mando Integral Detallado'!AG245:AG248,'Cuadro Mando Integral Detallado'!AG255:AG256,'Cuadro Mando Integral Detallado'!AG283:AG286,'Cuadro Mando Integral Detallado'!AG291:AG292,'Cuadro Mando Integral Detallado'!AG301,'Cuadro Mando Integral Detallado'!AG357)</f>
        <v>0</v>
      </c>
      <c r="AQ6" s="388">
        <f t="shared" ref="AQ6:AQ18" si="20">+AP6</f>
        <v>0</v>
      </c>
      <c r="AR6" s="378">
        <f t="shared" ref="AR6:AR18" si="21">+AP6</f>
        <v>0</v>
      </c>
      <c r="AS6" s="378">
        <f t="shared" ref="AS6:AS18" si="22">+AP6</f>
        <v>0</v>
      </c>
      <c r="AT6" s="378">
        <f t="shared" ref="AT6:AT18" si="23">+AP6</f>
        <v>0</v>
      </c>
      <c r="AU6" s="379">
        <f t="shared" ref="AU6:AU18" si="24">+AP6</f>
        <v>0</v>
      </c>
      <c r="AV6" s="446" t="e">
        <f>AVERAGE('Cuadro Mando Integral Detallado'!AI131:AI165,'Cuadro Mando Integral Detallado'!AI176,'Cuadro Mando Integral Detallado'!AI178:AI179,'Cuadro Mando Integral Detallado'!AI191,'Cuadro Mando Integral Detallado'!AI204:AI236,'Cuadro Mando Integral Detallado'!AI240:AI243,'Cuadro Mando Integral Detallado'!AI245:AI248,'Cuadro Mando Integral Detallado'!AI255:AI256,'Cuadro Mando Integral Detallado'!AI283:AI286,'Cuadro Mando Integral Detallado'!AI291:AI292,'Cuadro Mando Integral Detallado'!AI301,'Cuadro Mando Integral Detallado'!AI357)</f>
        <v>#VALUE!</v>
      </c>
      <c r="AW6" s="388" t="e">
        <f>+AV6</f>
        <v>#VALUE!</v>
      </c>
      <c r="AX6" s="382" t="e">
        <f t="shared" ref="AX6:AX17" si="25">+AV6</f>
        <v>#VALUE!</v>
      </c>
      <c r="AY6" s="382" t="e">
        <f t="shared" ref="AY6:AY18" si="26">+AV6</f>
        <v>#VALUE!</v>
      </c>
      <c r="AZ6" s="382" t="e">
        <f t="shared" ref="AZ6:AZ18" si="27">+AV6</f>
        <v>#VALUE!</v>
      </c>
      <c r="BA6" s="383" t="e">
        <f t="shared" ref="BA6:BA18" si="28">+AV6</f>
        <v>#VALUE!</v>
      </c>
    </row>
    <row r="7" spans="1:53" ht="36" x14ac:dyDescent="0.25">
      <c r="A7" s="390" t="s">
        <v>336</v>
      </c>
      <c r="B7" s="445"/>
      <c r="C7" s="447">
        <f>AVERAGE('Cuadro Mando Integral Detallado'!L168:L175,'Cuadro Mando Integral Detallado'!L182:L189,'Cuadro Mando Integral Detallado'!L193:L201,'Cuadro Mando Integral Detallado'!L239,'Cuadro Mando Integral Detallado'!L244,'Cuadro Mando Integral Detallado'!L249:L250,'Cuadro Mando Integral Detallado'!L275:L276,'Cuadro Mando Integral Detallado'!L294:L298,'Cuadro Mando Integral Detallado'!L302:L303,'Cuadro Mando Integral Detallado'!L352:L353,'Cuadro Mando Integral Detallado'!L356,'Cuadro Mando Integral Detallado'!L358:L359)</f>
        <v>0.89945652173913049</v>
      </c>
      <c r="D7" s="402">
        <f>+C7</f>
        <v>0.89945652173913049</v>
      </c>
      <c r="E7" s="393">
        <f>+C7</f>
        <v>0.89945652173913049</v>
      </c>
      <c r="F7" s="393">
        <f>+C7</f>
        <v>0.89945652173913049</v>
      </c>
      <c r="G7" s="393">
        <f>+C7</f>
        <v>0.89945652173913049</v>
      </c>
      <c r="H7" s="394">
        <f>+C7</f>
        <v>0.89945652173913049</v>
      </c>
      <c r="I7" s="447">
        <f>AVERAGE('Cuadro Mando Integral Detallado'!O168:O175,'Cuadro Mando Integral Detallado'!O182:O189,'Cuadro Mando Integral Detallado'!O193:O201,'Cuadro Mando Integral Detallado'!O239,'Cuadro Mando Integral Detallado'!O244,'Cuadro Mando Integral Detallado'!O249:O250,'Cuadro Mando Integral Detallado'!O275:O276,'Cuadro Mando Integral Detallado'!O294:O298,'Cuadro Mando Integral Detallado'!O302:O303,'Cuadro Mando Integral Detallado'!O352:O353,'Cuadro Mando Integral Detallado'!O356,'Cuadro Mando Integral Detallado'!O358:O359)</f>
        <v>0.48007246376811591</v>
      </c>
      <c r="J7" s="396">
        <f>+I7</f>
        <v>0.48007246376811591</v>
      </c>
      <c r="K7" s="397">
        <f>+I7</f>
        <v>0.48007246376811591</v>
      </c>
      <c r="L7" s="397">
        <f>+I7</f>
        <v>0.48007246376811591</v>
      </c>
      <c r="M7" s="397">
        <f>+I7</f>
        <v>0.48007246376811591</v>
      </c>
      <c r="N7" s="398">
        <f>+I7</f>
        <v>0.48007246376811591</v>
      </c>
      <c r="O7" s="11"/>
      <c r="P7" s="447">
        <f>AVERAGE('Cuadro Mando Integral Detallado'!S168:S175,'Cuadro Mando Integral Detallado'!S182:S189,'Cuadro Mando Integral Detallado'!S193:S202,'Cuadro Mando Integral Detallado'!S239,'Cuadro Mando Integral Detallado'!S241,'Cuadro Mando Integral Detallado'!S244,'Cuadro Mando Integral Detallado'!S249:S250,'Cuadro Mando Integral Detallado'!S275:S276,'Cuadro Mando Integral Detallado'!S294:S300,'Cuadro Mando Integral Detallado'!S302:S303,'Cuadro Mando Integral Detallado'!S352:S353,'Cuadro Mando Integral Detallado'!S356,'Cuadro Mando Integral Detallado'!S358:S359)</f>
        <v>0.86381074168797956</v>
      </c>
      <c r="Q7" s="402">
        <f t="shared" si="0"/>
        <v>0.86381074168797956</v>
      </c>
      <c r="R7" s="393">
        <f t="shared" si="1"/>
        <v>0.86381074168797956</v>
      </c>
      <c r="S7" s="393">
        <f t="shared" si="2"/>
        <v>0.86381074168797956</v>
      </c>
      <c r="T7" s="393">
        <f t="shared" si="3"/>
        <v>0.86381074168797956</v>
      </c>
      <c r="U7" s="394">
        <f t="shared" si="4"/>
        <v>0.86381074168797956</v>
      </c>
      <c r="V7" s="447">
        <f>AVERAGE('Cuadro Mando Integral Detallado'!V168:V175,'Cuadro Mando Integral Detallado'!V182:V189,'Cuadro Mando Integral Detallado'!V193:V202,'Cuadro Mando Integral Detallado'!V239,'Cuadro Mando Integral Detallado'!V241,'Cuadro Mando Integral Detallado'!V244,'Cuadro Mando Integral Detallado'!V249:V250,'Cuadro Mando Integral Detallado'!V275:V276,'Cuadro Mando Integral Detallado'!V294:V300,'Cuadro Mando Integral Detallado'!V302:V303,'Cuadro Mando Integral Detallado'!V352:V353,'Cuadro Mando Integral Detallado'!V356,'Cuadro Mando Integral Detallado'!V358:V359)</f>
        <v>0.50493972453111691</v>
      </c>
      <c r="W7" s="396">
        <f t="shared" si="5"/>
        <v>0.50493972453111691</v>
      </c>
      <c r="X7" s="397">
        <f t="shared" si="6"/>
        <v>0.50493972453111691</v>
      </c>
      <c r="Y7" s="397">
        <f t="shared" si="7"/>
        <v>0.50493972453111691</v>
      </c>
      <c r="Z7" s="397">
        <f t="shared" si="8"/>
        <v>0.50493972453111691</v>
      </c>
      <c r="AA7" s="398">
        <f t="shared" si="9"/>
        <v>0.50493972453111691</v>
      </c>
      <c r="AB7" s="432"/>
      <c r="AC7" s="447">
        <f>AVERAGE('Cuadro Mando Integral Detallado'!Z168:Z175,'Cuadro Mando Integral Detallado'!Z182:Z189,'Cuadro Mando Integral Detallado'!Z193:Z201,'Cuadro Mando Integral Detallado'!Z239,'Cuadro Mando Integral Detallado'!Z244,'Cuadro Mando Integral Detallado'!Z249:Z250,'Cuadro Mando Integral Detallado'!Z275:Z276,'Cuadro Mando Integral Detallado'!Z294,'Cuadro Mando Integral Detallado'!Z295:Z300,'Cuadro Mando Integral Detallado'!Z302:Z303,'Cuadro Mando Integral Detallado'!Z352:Z353,'Cuadro Mando Integral Detallado'!Z358:Z359)</f>
        <v>0</v>
      </c>
      <c r="AD7" s="402">
        <f t="shared" si="10"/>
        <v>0</v>
      </c>
      <c r="AE7" s="393">
        <f t="shared" si="11"/>
        <v>0</v>
      </c>
      <c r="AF7" s="393">
        <f t="shared" si="12"/>
        <v>0</v>
      </c>
      <c r="AG7" s="393">
        <f t="shared" si="13"/>
        <v>0</v>
      </c>
      <c r="AH7" s="394">
        <f t="shared" si="14"/>
        <v>0</v>
      </c>
      <c r="AI7" s="447">
        <f>AVERAGE('Cuadro Mando Integral Detallado'!AC168:AC175,'Cuadro Mando Integral Detallado'!AC182:AC189,'Cuadro Mando Integral Detallado'!AC193:AC201,'Cuadro Mando Integral Detallado'!AC239,'Cuadro Mando Integral Detallado'!AC244,'Cuadro Mando Integral Detallado'!AC249:AR250,'Cuadro Mando Integral Detallado'!AC275:AC276,'Cuadro Mando Integral Detallado'!AC294,'Cuadro Mando Integral Detallado'!AC295:AC300,'Cuadro Mando Integral Detallado'!AC302:AC303,'Cuadro Mando Integral Detallado'!AC352:AC353,'Cuadro Mando Integral Detallado'!AC358:AC359)</f>
        <v>0.36891814968741121</v>
      </c>
      <c r="AJ7" s="402">
        <f t="shared" si="15"/>
        <v>0.36891814968741121</v>
      </c>
      <c r="AK7" s="397">
        <f t="shared" si="16"/>
        <v>0.36891814968741121</v>
      </c>
      <c r="AL7" s="397">
        <f t="shared" si="17"/>
        <v>0.36891814968741121</v>
      </c>
      <c r="AM7" s="397">
        <f t="shared" si="18"/>
        <v>0.36891814968741121</v>
      </c>
      <c r="AN7" s="398">
        <f t="shared" si="19"/>
        <v>0.36891814968741121</v>
      </c>
      <c r="AO7" s="432"/>
      <c r="AP7" s="447">
        <f>AVERAGE('Cuadro Mando Integral Detallado'!AG168:AG175,'Cuadro Mando Integral Detallado'!AG182:AG189,'Cuadro Mando Integral Detallado'!AG193:AG201,'Cuadro Mando Integral Detallado'!AG239,'Cuadro Mando Integral Detallado'!AG244,'Cuadro Mando Integral Detallado'!AG249:AG250,'Cuadro Mando Integral Detallado'!AG275:AG276,'Cuadro Mando Integral Detallado'!AG294,'Cuadro Mando Integral Detallado'!AG295:AG300,'Cuadro Mando Integral Detallado'!AG302:AG303,'Cuadro Mando Integral Detallado'!AG352:AG353,'Cuadro Mando Integral Detallado'!AG358:AG359)</f>
        <v>0</v>
      </c>
      <c r="AQ7" s="402">
        <f t="shared" si="20"/>
        <v>0</v>
      </c>
      <c r="AR7" s="393">
        <f t="shared" si="21"/>
        <v>0</v>
      </c>
      <c r="AS7" s="393">
        <f t="shared" si="22"/>
        <v>0</v>
      </c>
      <c r="AT7" s="393">
        <f t="shared" si="23"/>
        <v>0</v>
      </c>
      <c r="AU7" s="394">
        <f t="shared" si="24"/>
        <v>0</v>
      </c>
      <c r="AV7" s="447">
        <f>AVERAGE('Cuadro Mando Integral Detallado'!AI168:AI175,'Cuadro Mando Integral Detallado'!AI182:AI189,'Cuadro Mando Integral Detallado'!AI193:AI201,'Cuadro Mando Integral Detallado'!AI239,'Cuadro Mando Integral Detallado'!AI244,'Cuadro Mando Integral Detallado'!AI249:AI250,'Cuadro Mando Integral Detallado'!AI275:AI276,'Cuadro Mando Integral Detallado'!AI294,'Cuadro Mando Integral Detallado'!AI295:AI300,'Cuadro Mando Integral Detallado'!AI302:AI303,'Cuadro Mando Integral Detallado'!AI352:AI353,'Cuadro Mando Integral Detallado'!AI358:AI359)</f>
        <v>0.36530398104641254</v>
      </c>
      <c r="AW7" s="402">
        <f t="shared" ref="AW7:AW18" si="29">+AV7</f>
        <v>0.36530398104641254</v>
      </c>
      <c r="AX7" s="397">
        <f t="shared" si="25"/>
        <v>0.36530398104641254</v>
      </c>
      <c r="AY7" s="397">
        <f t="shared" si="26"/>
        <v>0.36530398104641254</v>
      </c>
      <c r="AZ7" s="397">
        <f t="shared" si="27"/>
        <v>0.36530398104641254</v>
      </c>
      <c r="BA7" s="398">
        <f t="shared" si="28"/>
        <v>0.36530398104641254</v>
      </c>
    </row>
    <row r="8" spans="1:53" ht="18" x14ac:dyDescent="0.25">
      <c r="A8" s="390" t="s">
        <v>337</v>
      </c>
      <c r="B8" s="445"/>
      <c r="C8" s="447">
        <f>AVERAGE('Cuadro Mando Integral Detallado'!L251:L254)</f>
        <v>0.84</v>
      </c>
      <c r="D8" s="402">
        <f>+C8</f>
        <v>0.84</v>
      </c>
      <c r="E8" s="393">
        <f>+C8</f>
        <v>0.84</v>
      </c>
      <c r="F8" s="393">
        <f>+C8</f>
        <v>0.84</v>
      </c>
      <c r="G8" s="393">
        <f>+C8</f>
        <v>0.84</v>
      </c>
      <c r="H8" s="394">
        <f>+C8</f>
        <v>0.84</v>
      </c>
      <c r="I8" s="447">
        <f>AVERAGE('Cuadro Mando Integral Detallado'!O251:O254)</f>
        <v>0.10357583230579531</v>
      </c>
      <c r="J8" s="396">
        <f>+I8</f>
        <v>0.10357583230579531</v>
      </c>
      <c r="K8" s="397">
        <f>+I8</f>
        <v>0.10357583230579531</v>
      </c>
      <c r="L8" s="397">
        <f>+I8</f>
        <v>0.10357583230579531</v>
      </c>
      <c r="M8" s="397">
        <f>+I8</f>
        <v>0.10357583230579531</v>
      </c>
      <c r="N8" s="398">
        <f>+I8</f>
        <v>0.10357583230579531</v>
      </c>
      <c r="O8" s="11"/>
      <c r="P8" s="447">
        <f>AVERAGE('Cuadro Mando Integral Detallado'!S251:S254)</f>
        <v>1</v>
      </c>
      <c r="Q8" s="402">
        <f t="shared" si="0"/>
        <v>1</v>
      </c>
      <c r="R8" s="393">
        <f t="shared" si="1"/>
        <v>1</v>
      </c>
      <c r="S8" s="393">
        <f t="shared" si="2"/>
        <v>1</v>
      </c>
      <c r="T8" s="393">
        <f t="shared" si="3"/>
        <v>1</v>
      </c>
      <c r="U8" s="394">
        <f t="shared" si="4"/>
        <v>1</v>
      </c>
      <c r="V8" s="447">
        <f>AVERAGE('Cuadro Mando Integral Detallado'!V251:V254)</f>
        <v>0.73674475955610363</v>
      </c>
      <c r="W8" s="396">
        <f t="shared" si="5"/>
        <v>0.73674475955610363</v>
      </c>
      <c r="X8" s="397">
        <f t="shared" si="6"/>
        <v>0.73674475955610363</v>
      </c>
      <c r="Y8" s="397">
        <f t="shared" si="7"/>
        <v>0.73674475955610363</v>
      </c>
      <c r="Z8" s="397">
        <f t="shared" si="8"/>
        <v>0.73674475955610363</v>
      </c>
      <c r="AA8" s="398">
        <f t="shared" si="9"/>
        <v>0.73674475955610363</v>
      </c>
      <c r="AB8" s="436"/>
      <c r="AC8" s="943">
        <f>AVERAGE('Cuadro Mando Integral Detallado'!Z251:Z254)</f>
        <v>0</v>
      </c>
      <c r="AD8" s="402">
        <f t="shared" si="10"/>
        <v>0</v>
      </c>
      <c r="AE8" s="393">
        <f t="shared" si="11"/>
        <v>0</v>
      </c>
      <c r="AF8" s="393">
        <f t="shared" si="12"/>
        <v>0</v>
      </c>
      <c r="AG8" s="393">
        <f t="shared" si="13"/>
        <v>0</v>
      </c>
      <c r="AH8" s="394">
        <f t="shared" si="14"/>
        <v>0</v>
      </c>
      <c r="AI8" s="447">
        <f>AVERAGE('Cuadro Mando Integral Detallado'!AC251:AC254)</f>
        <v>0.15782983970406905</v>
      </c>
      <c r="AJ8" s="402">
        <f t="shared" si="15"/>
        <v>0.15782983970406905</v>
      </c>
      <c r="AK8" s="397">
        <f t="shared" si="16"/>
        <v>0.15782983970406905</v>
      </c>
      <c r="AL8" s="397">
        <f t="shared" si="17"/>
        <v>0.15782983970406905</v>
      </c>
      <c r="AM8" s="397">
        <f t="shared" si="18"/>
        <v>0.15782983970406905</v>
      </c>
      <c r="AN8" s="398">
        <f t="shared" si="19"/>
        <v>0.15782983970406905</v>
      </c>
      <c r="AO8" s="432"/>
      <c r="AP8" s="447">
        <f>AVERAGE('Cuadro Mando Integral Detallado'!AG251:AG254)</f>
        <v>0</v>
      </c>
      <c r="AQ8" s="402">
        <f t="shared" si="20"/>
        <v>0</v>
      </c>
      <c r="AR8" s="393">
        <f t="shared" si="21"/>
        <v>0</v>
      </c>
      <c r="AS8" s="393">
        <f t="shared" si="22"/>
        <v>0</v>
      </c>
      <c r="AT8" s="393">
        <f t="shared" si="23"/>
        <v>0</v>
      </c>
      <c r="AU8" s="394">
        <f t="shared" si="24"/>
        <v>0</v>
      </c>
      <c r="AV8" s="447">
        <f>AVERAGE('Cuadro Mando Integral Detallado'!AI251:AI254)</f>
        <v>0.36837237977805182</v>
      </c>
      <c r="AW8" s="402">
        <f t="shared" si="29"/>
        <v>0.36837237977805182</v>
      </c>
      <c r="AX8" s="397">
        <f t="shared" si="25"/>
        <v>0.36837237977805182</v>
      </c>
      <c r="AY8" s="397">
        <f t="shared" si="26"/>
        <v>0.36837237977805182</v>
      </c>
      <c r="AZ8" s="397">
        <f t="shared" si="27"/>
        <v>0.36837237977805182</v>
      </c>
      <c r="BA8" s="398">
        <f t="shared" si="28"/>
        <v>0.36837237977805182</v>
      </c>
    </row>
    <row r="9" spans="1:53" ht="18" x14ac:dyDescent="0.25">
      <c r="A9" s="390" t="s">
        <v>502</v>
      </c>
      <c r="B9" s="445"/>
      <c r="C9" s="447">
        <f>AVERAGE('Cuadro Mando Integral Detallado'!L309:L326,'Cuadro Mando Integral Detallado'!L353:L355,'Cuadro Mando Integral Detallado'!L358:L359)</f>
        <v>1</v>
      </c>
      <c r="D9" s="402">
        <f>+C9</f>
        <v>1</v>
      </c>
      <c r="E9" s="393">
        <f>+C9</f>
        <v>1</v>
      </c>
      <c r="F9" s="393">
        <f>+C9</f>
        <v>1</v>
      </c>
      <c r="G9" s="393">
        <f>+C9</f>
        <v>1</v>
      </c>
      <c r="H9" s="394">
        <f>+C9</f>
        <v>1</v>
      </c>
      <c r="I9" s="447">
        <f>AVERAGE('Cuadro Mando Integral Detallado'!O309:O326,'Cuadro Mando Integral Detallado'!O353,'Cuadro Mando Integral Detallado'!O354:O355,'Cuadro Mando Integral Detallado'!O358:O359)</f>
        <v>0.25</v>
      </c>
      <c r="J9" s="396">
        <f>+I9</f>
        <v>0.25</v>
      </c>
      <c r="K9" s="397">
        <f>+I9</f>
        <v>0.25</v>
      </c>
      <c r="L9" s="397">
        <f>+I9</f>
        <v>0.25</v>
      </c>
      <c r="M9" s="397">
        <f>+I9</f>
        <v>0.25</v>
      </c>
      <c r="N9" s="398">
        <f>+I9</f>
        <v>0.25</v>
      </c>
      <c r="O9" s="11"/>
      <c r="P9" s="447">
        <f>AVERAGE('Cuadro Mando Integral Detallado'!S309:S326,'Cuadro Mando Integral Detallado'!S351,'Cuadro Mando Integral Detallado'!S353:S355,'Cuadro Mando Integral Detallado'!S358:S359)</f>
        <v>0.75</v>
      </c>
      <c r="Q9" s="402">
        <f t="shared" si="0"/>
        <v>0.75</v>
      </c>
      <c r="R9" s="393">
        <f t="shared" si="1"/>
        <v>0.75</v>
      </c>
      <c r="S9" s="393">
        <f t="shared" si="2"/>
        <v>0.75</v>
      </c>
      <c r="T9" s="393">
        <f t="shared" si="3"/>
        <v>0.75</v>
      </c>
      <c r="U9" s="394">
        <f t="shared" si="4"/>
        <v>0.75</v>
      </c>
      <c r="V9" s="447">
        <f>AVERAGE('Cuadro Mando Integral Detallado'!V309:V326,'Cuadro Mando Integral Detallado'!V351,'Cuadro Mando Integral Detallado'!V353:V355,'Cuadro Mando Integral Detallado'!V358:V359)</f>
        <v>0.39583333333333331</v>
      </c>
      <c r="W9" s="396">
        <f t="shared" si="5"/>
        <v>0.39583333333333331</v>
      </c>
      <c r="X9" s="397">
        <f t="shared" si="6"/>
        <v>0.39583333333333331</v>
      </c>
      <c r="Y9" s="397">
        <f t="shared" si="7"/>
        <v>0.39583333333333331</v>
      </c>
      <c r="Z9" s="397">
        <f t="shared" si="8"/>
        <v>0.39583333333333331</v>
      </c>
      <c r="AA9" s="398">
        <f t="shared" si="9"/>
        <v>0.39583333333333331</v>
      </c>
      <c r="AB9" s="432"/>
      <c r="AC9" s="447">
        <f>AVERAGE('Cuadro Mando Integral Detallado'!Z309:Z326,'Cuadro Mando Integral Detallado'!Z353,'Cuadro Mando Integral Detallado'!Z354:Z355,'Cuadro Mando Integral Detallado'!Z358:Z359)</f>
        <v>0</v>
      </c>
      <c r="AD9" s="402">
        <f t="shared" si="10"/>
        <v>0</v>
      </c>
      <c r="AE9" s="393">
        <f t="shared" si="11"/>
        <v>0</v>
      </c>
      <c r="AF9" s="393">
        <f t="shared" si="12"/>
        <v>0</v>
      </c>
      <c r="AG9" s="393">
        <f t="shared" si="13"/>
        <v>0</v>
      </c>
      <c r="AH9" s="394">
        <f t="shared" si="14"/>
        <v>0</v>
      </c>
      <c r="AI9" s="447">
        <f>AVERAGE('Cuadro Mando Integral Detallado'!AC309:AC326,'Cuadro Mando Integral Detallado'!AC353,'Cuadro Mando Integral Detallado'!AC354:AC355,'Cuadro Mando Integral Detallado'!AC358:AC359)</f>
        <v>0.22619047619047619</v>
      </c>
      <c r="AJ9" s="402">
        <f t="shared" si="15"/>
        <v>0.22619047619047619</v>
      </c>
      <c r="AK9" s="397">
        <f t="shared" si="16"/>
        <v>0.22619047619047619</v>
      </c>
      <c r="AL9" s="397">
        <f t="shared" si="17"/>
        <v>0.22619047619047619</v>
      </c>
      <c r="AM9" s="397">
        <f t="shared" si="18"/>
        <v>0.22619047619047619</v>
      </c>
      <c r="AN9" s="398">
        <f t="shared" si="19"/>
        <v>0.22619047619047619</v>
      </c>
      <c r="AO9" s="432"/>
      <c r="AP9" s="447">
        <f>AVERAGE('Cuadro Mando Integral Detallado'!AG309:AG326,'Cuadro Mando Integral Detallado'!AG353,'Cuadro Mando Integral Detallado'!AG354:AG355,'Cuadro Mando Integral Detallado'!AG358:AG359)</f>
        <v>0</v>
      </c>
      <c r="AQ9" s="402">
        <f t="shared" si="20"/>
        <v>0</v>
      </c>
      <c r="AR9" s="393">
        <f t="shared" si="21"/>
        <v>0</v>
      </c>
      <c r="AS9" s="393">
        <f t="shared" si="22"/>
        <v>0</v>
      </c>
      <c r="AT9" s="393">
        <f t="shared" si="23"/>
        <v>0</v>
      </c>
      <c r="AU9" s="394">
        <f t="shared" si="24"/>
        <v>0</v>
      </c>
      <c r="AV9" s="447">
        <f>AVERAGE('Cuadro Mando Integral Detallado'!AI309:AI326,'Cuadro Mando Integral Detallado'!AI353,'Cuadro Mando Integral Detallado'!AI354:AI355,'Cuadro Mando Integral Detallado'!AI358:AI359)</f>
        <v>0.17592592592592593</v>
      </c>
      <c r="AW9" s="402">
        <f t="shared" si="29"/>
        <v>0.17592592592592593</v>
      </c>
      <c r="AX9" s="397">
        <f t="shared" si="25"/>
        <v>0.17592592592592593</v>
      </c>
      <c r="AY9" s="397">
        <f t="shared" si="26"/>
        <v>0.17592592592592593</v>
      </c>
      <c r="AZ9" s="397">
        <f t="shared" si="27"/>
        <v>0.17592592592592593</v>
      </c>
      <c r="BA9" s="398">
        <f t="shared" si="28"/>
        <v>0.17592592592592593</v>
      </c>
    </row>
    <row r="10" spans="1:53" ht="36" x14ac:dyDescent="0.25">
      <c r="A10" s="390" t="s">
        <v>999</v>
      </c>
      <c r="B10" s="445"/>
      <c r="C10" s="447">
        <f>AVERAGE('Cuadro Mando Integral Detallado'!L177,'Cuadro Mando Integral Detallado'!L257:L271,'Cuadro Mando Integral Detallado'!L305:L308)</f>
        <v>0.8</v>
      </c>
      <c r="D10" s="402">
        <f t="shared" ref="D10:D17" si="30">+C10</f>
        <v>0.8</v>
      </c>
      <c r="E10" s="393">
        <f t="shared" ref="E10:E17" si="31">+C10</f>
        <v>0.8</v>
      </c>
      <c r="F10" s="393">
        <f t="shared" ref="F10:F17" si="32">+C10</f>
        <v>0.8</v>
      </c>
      <c r="G10" s="393">
        <f t="shared" ref="G10:G17" si="33">+C10</f>
        <v>0.8</v>
      </c>
      <c r="H10" s="394">
        <f t="shared" ref="H10:H17" si="34">+C10</f>
        <v>0.8</v>
      </c>
      <c r="I10" s="447">
        <f>AVERAGE('Cuadro Mando Integral Detallado'!O177,'Cuadro Mando Integral Detallado'!O257:O271,'Cuadro Mando Integral Detallado'!O305:O308)</f>
        <v>0.5</v>
      </c>
      <c r="J10" s="396">
        <f t="shared" ref="J10:J17" si="35">+I10</f>
        <v>0.5</v>
      </c>
      <c r="K10" s="397">
        <f t="shared" ref="K10:K17" si="36">+I10</f>
        <v>0.5</v>
      </c>
      <c r="L10" s="397">
        <f t="shared" ref="L10:L17" si="37">+I10</f>
        <v>0.5</v>
      </c>
      <c r="M10" s="397">
        <f t="shared" ref="M10:M17" si="38">+I10</f>
        <v>0.5</v>
      </c>
      <c r="N10" s="398">
        <f t="shared" ref="N10:N17" si="39">+I10</f>
        <v>0.5</v>
      </c>
      <c r="O10" s="11"/>
      <c r="P10" s="447">
        <f>AVERAGE('Cuadro Mando Integral Detallado'!S177,'Cuadro Mando Integral Detallado'!S257:S271,'Cuadro Mando Integral Detallado'!S305:S308,'Cuadro Mando Integral Detallado'!S351)</f>
        <v>0.66666666666666663</v>
      </c>
      <c r="Q10" s="402"/>
      <c r="R10" s="393"/>
      <c r="S10" s="393"/>
      <c r="T10" s="393"/>
      <c r="U10" s="394"/>
      <c r="V10" s="447">
        <f>AVERAGE('Cuadro Mando Integral Detallado'!V177,'Cuadro Mando Integral Detallado'!V257:V271,'Cuadro Mando Integral Detallado'!V305:V308,'Cuadro Mando Integral Detallado'!V351)</f>
        <v>0.5</v>
      </c>
      <c r="W10" s="396">
        <f t="shared" ref="W10:W17" si="40">+V10</f>
        <v>0.5</v>
      </c>
      <c r="X10" s="397">
        <f t="shared" ref="X10:X17" si="41">+V10</f>
        <v>0.5</v>
      </c>
      <c r="Y10" s="397">
        <f t="shared" ref="Y10:Y17" si="42">+V10</f>
        <v>0.5</v>
      </c>
      <c r="Z10" s="397">
        <f t="shared" ref="Z10:Z17" si="43">+V10</f>
        <v>0.5</v>
      </c>
      <c r="AA10" s="398">
        <f t="shared" ref="AA10:AA17" si="44">+V10</f>
        <v>0.5</v>
      </c>
      <c r="AB10" s="432"/>
      <c r="AC10" s="447">
        <f>AVERAGE('Cuadro Mando Integral Detallado'!Z177,'Cuadro Mando Integral Detallado'!Z257:Z271,'Cuadro Mando Integral Detallado'!Z305:Z308)</f>
        <v>0</v>
      </c>
      <c r="AD10" s="402"/>
      <c r="AE10" s="393"/>
      <c r="AF10" s="393"/>
      <c r="AG10" s="393"/>
      <c r="AH10" s="394"/>
      <c r="AI10" s="447">
        <f>AVERAGE('Cuadro Mando Integral Detallado'!AC177,'Cuadro Mando Integral Detallado'!AC257:AC271,'Cuadro Mando Integral Detallado'!AC305:AC308)</f>
        <v>0.25</v>
      </c>
      <c r="AJ10" s="402"/>
      <c r="AK10" s="397"/>
      <c r="AL10" s="397"/>
      <c r="AM10" s="397"/>
      <c r="AN10" s="398"/>
      <c r="AO10" s="432"/>
      <c r="AP10" s="447">
        <f>AVERAGE('Cuadro Mando Integral Detallado'!AG177,'Cuadro Mando Integral Detallado'!AG257:AG271,'Cuadro Mando Integral Detallado'!AG305:AG308)</f>
        <v>0.2</v>
      </c>
      <c r="AQ10" s="402"/>
      <c r="AR10" s="393"/>
      <c r="AS10" s="393"/>
      <c r="AT10" s="393"/>
      <c r="AU10" s="394"/>
      <c r="AV10" s="447">
        <f>AVERAGE('Cuadro Mando Integral Detallado'!AI177,'Cuadro Mando Integral Detallado'!AI257:AI271,'Cuadro Mando Integral Detallado'!AI305:AI308)</f>
        <v>0.21428571428571427</v>
      </c>
      <c r="AW10" s="402"/>
      <c r="AX10" s="397"/>
      <c r="AY10" s="397"/>
      <c r="AZ10" s="397"/>
      <c r="BA10" s="398"/>
    </row>
    <row r="11" spans="1:53" ht="36" x14ac:dyDescent="0.25">
      <c r="A11" s="390" t="s">
        <v>1190</v>
      </c>
      <c r="B11" s="445"/>
      <c r="C11" s="447">
        <f>AVERAGE('Cuadro Mando Integral Detallado'!L327:L350)</f>
        <v>1</v>
      </c>
      <c r="D11" s="402">
        <f t="shared" si="30"/>
        <v>1</v>
      </c>
      <c r="E11" s="393">
        <f t="shared" si="31"/>
        <v>1</v>
      </c>
      <c r="F11" s="393">
        <f t="shared" si="32"/>
        <v>1</v>
      </c>
      <c r="G11" s="393">
        <f t="shared" si="33"/>
        <v>1</v>
      </c>
      <c r="H11" s="394">
        <f t="shared" si="34"/>
        <v>1</v>
      </c>
      <c r="I11" s="447">
        <f>AVERAGE('Cuadro Mando Integral Detallado'!O327:O350)</f>
        <v>5.2631578947368418E-2</v>
      </c>
      <c r="J11" s="396">
        <f t="shared" si="35"/>
        <v>5.2631578947368418E-2</v>
      </c>
      <c r="K11" s="397">
        <f t="shared" si="36"/>
        <v>5.2631578947368418E-2</v>
      </c>
      <c r="L11" s="397">
        <f t="shared" si="37"/>
        <v>5.2631578947368418E-2</v>
      </c>
      <c r="M11" s="397">
        <f t="shared" si="38"/>
        <v>5.2631578947368418E-2</v>
      </c>
      <c r="N11" s="398">
        <f t="shared" si="39"/>
        <v>5.2631578947368418E-2</v>
      </c>
      <c r="O11" s="11"/>
      <c r="P11" s="447">
        <f>AVERAGE('Cuadro Mando Integral Detallado'!S327:S350)</f>
        <v>1</v>
      </c>
      <c r="Q11" s="402">
        <f t="shared" si="0"/>
        <v>1</v>
      </c>
      <c r="R11" s="393">
        <f t="shared" si="1"/>
        <v>1</v>
      </c>
      <c r="S11" s="393">
        <f t="shared" si="2"/>
        <v>1</v>
      </c>
      <c r="T11" s="393">
        <f t="shared" si="3"/>
        <v>1</v>
      </c>
      <c r="U11" s="394">
        <f t="shared" si="4"/>
        <v>1</v>
      </c>
      <c r="V11" s="447">
        <f>AVERAGE('Cuadro Mando Integral Detallado'!V327:V350)</f>
        <v>0.15789473684210525</v>
      </c>
      <c r="W11" s="396">
        <f t="shared" si="40"/>
        <v>0.15789473684210525</v>
      </c>
      <c r="X11" s="397">
        <f t="shared" si="41"/>
        <v>0.15789473684210525</v>
      </c>
      <c r="Y11" s="397">
        <f t="shared" si="42"/>
        <v>0.15789473684210525</v>
      </c>
      <c r="Z11" s="397">
        <f t="shared" si="43"/>
        <v>0.15789473684210525</v>
      </c>
      <c r="AA11" s="398">
        <f t="shared" si="44"/>
        <v>0.15789473684210525</v>
      </c>
      <c r="AB11" s="432"/>
      <c r="AC11" s="447">
        <f>AVERAGE('Cuadro Mando Integral Detallado'!Z327:Z350)</f>
        <v>0</v>
      </c>
      <c r="AD11" s="402">
        <f t="shared" si="10"/>
        <v>0</v>
      </c>
      <c r="AE11" s="393">
        <f t="shared" si="11"/>
        <v>0</v>
      </c>
      <c r="AF11" s="393">
        <f t="shared" si="12"/>
        <v>0</v>
      </c>
      <c r="AG11" s="393">
        <f t="shared" si="13"/>
        <v>0</v>
      </c>
      <c r="AH11" s="394">
        <f t="shared" si="14"/>
        <v>0</v>
      </c>
      <c r="AI11" s="447">
        <f>AVERAGE('Cuadro Mando Integral Detallado'!AC327:AC350)</f>
        <v>7.8947368421052627E-2</v>
      </c>
      <c r="AJ11" s="402">
        <f t="shared" si="15"/>
        <v>7.8947368421052627E-2</v>
      </c>
      <c r="AK11" s="397">
        <f t="shared" si="16"/>
        <v>7.8947368421052627E-2</v>
      </c>
      <c r="AL11" s="397">
        <f t="shared" si="17"/>
        <v>7.8947368421052627E-2</v>
      </c>
      <c r="AM11" s="397">
        <f t="shared" si="18"/>
        <v>7.8947368421052627E-2</v>
      </c>
      <c r="AN11" s="398">
        <f t="shared" si="19"/>
        <v>7.8947368421052627E-2</v>
      </c>
      <c r="AO11" s="432"/>
      <c r="AP11" s="447">
        <f>AVERAGE('Cuadro Mando Integral Detallado'!AG327:AG350)</f>
        <v>0</v>
      </c>
      <c r="AQ11" s="402">
        <f t="shared" si="20"/>
        <v>0</v>
      </c>
      <c r="AR11" s="393">
        <f t="shared" si="21"/>
        <v>0</v>
      </c>
      <c r="AS11" s="393">
        <f t="shared" si="22"/>
        <v>0</v>
      </c>
      <c r="AT11" s="393">
        <f t="shared" si="23"/>
        <v>0</v>
      </c>
      <c r="AU11" s="394">
        <f t="shared" si="24"/>
        <v>0</v>
      </c>
      <c r="AV11" s="447">
        <f>AVERAGE('Cuadro Mando Integral Detallado'!AI327:AI350)</f>
        <v>7.8947368421052627E-2</v>
      </c>
      <c r="AW11" s="402">
        <f t="shared" si="29"/>
        <v>7.8947368421052627E-2</v>
      </c>
      <c r="AX11" s="397">
        <f t="shared" si="25"/>
        <v>7.8947368421052627E-2</v>
      </c>
      <c r="AY11" s="397">
        <f t="shared" si="26"/>
        <v>7.8947368421052627E-2</v>
      </c>
      <c r="AZ11" s="397">
        <f t="shared" si="27"/>
        <v>7.8947368421052627E-2</v>
      </c>
      <c r="BA11" s="398">
        <f t="shared" si="28"/>
        <v>7.8947368421052627E-2</v>
      </c>
    </row>
    <row r="12" spans="1:53" ht="18" x14ac:dyDescent="0.25">
      <c r="A12" s="448" t="s">
        <v>848</v>
      </c>
      <c r="B12" s="445"/>
      <c r="C12" s="447" t="e">
        <f>AVERAGE('Cuadro Mando Integral Detallado'!L272:L274)</f>
        <v>#DIV/0!</v>
      </c>
      <c r="D12" s="402" t="e">
        <f t="shared" si="30"/>
        <v>#DIV/0!</v>
      </c>
      <c r="E12" s="393" t="e">
        <f t="shared" si="31"/>
        <v>#DIV/0!</v>
      </c>
      <c r="F12" s="393" t="e">
        <f t="shared" si="32"/>
        <v>#DIV/0!</v>
      </c>
      <c r="G12" s="393" t="e">
        <f t="shared" si="33"/>
        <v>#DIV/0!</v>
      </c>
      <c r="H12" s="394" t="e">
        <f t="shared" si="34"/>
        <v>#DIV/0!</v>
      </c>
      <c r="I12" s="447" t="e">
        <f>AVERAGE('Cuadro Mando Integral Detallado'!O272:O274)</f>
        <v>#DIV/0!</v>
      </c>
      <c r="J12" s="396" t="e">
        <f t="shared" si="35"/>
        <v>#DIV/0!</v>
      </c>
      <c r="K12" s="397" t="e">
        <f t="shared" si="36"/>
        <v>#DIV/0!</v>
      </c>
      <c r="L12" s="397" t="e">
        <f t="shared" si="37"/>
        <v>#DIV/0!</v>
      </c>
      <c r="M12" s="397" t="e">
        <f t="shared" si="38"/>
        <v>#DIV/0!</v>
      </c>
      <c r="N12" s="398" t="e">
        <f t="shared" si="39"/>
        <v>#DIV/0!</v>
      </c>
      <c r="O12" s="11"/>
      <c r="P12" s="447" t="e">
        <f>AVERAGE('Cuadro Mando Integral Detallado'!S272:S274)</f>
        <v>#DIV/0!</v>
      </c>
      <c r="Q12" s="402" t="e">
        <f t="shared" si="0"/>
        <v>#DIV/0!</v>
      </c>
      <c r="R12" s="393" t="e">
        <f t="shared" si="1"/>
        <v>#DIV/0!</v>
      </c>
      <c r="S12" s="393" t="e">
        <f t="shared" si="2"/>
        <v>#DIV/0!</v>
      </c>
      <c r="T12" s="393" t="e">
        <f t="shared" si="3"/>
        <v>#DIV/0!</v>
      </c>
      <c r="U12" s="394" t="e">
        <f t="shared" si="4"/>
        <v>#DIV/0!</v>
      </c>
      <c r="V12" s="447" t="e">
        <f>AVERAGE('Cuadro Mando Integral Detallado'!V272:V274)</f>
        <v>#DIV/0!</v>
      </c>
      <c r="W12" s="396" t="e">
        <f t="shared" si="40"/>
        <v>#DIV/0!</v>
      </c>
      <c r="X12" s="397" t="e">
        <f t="shared" si="41"/>
        <v>#DIV/0!</v>
      </c>
      <c r="Y12" s="397" t="e">
        <f t="shared" si="42"/>
        <v>#DIV/0!</v>
      </c>
      <c r="Z12" s="397" t="e">
        <f t="shared" si="43"/>
        <v>#DIV/0!</v>
      </c>
      <c r="AA12" s="398" t="e">
        <f t="shared" si="44"/>
        <v>#DIV/0!</v>
      </c>
      <c r="AB12" s="432"/>
      <c r="AC12" s="447">
        <f>AVERAGE('Cuadro Mando Integral Detallado'!Z272:Z274)</f>
        <v>0</v>
      </c>
      <c r="AD12" s="402">
        <f t="shared" si="10"/>
        <v>0</v>
      </c>
      <c r="AE12" s="393">
        <f t="shared" si="11"/>
        <v>0</v>
      </c>
      <c r="AF12" s="393">
        <f t="shared" si="12"/>
        <v>0</v>
      </c>
      <c r="AG12" s="393">
        <f t="shared" si="13"/>
        <v>0</v>
      </c>
      <c r="AH12" s="394">
        <f t="shared" si="14"/>
        <v>0</v>
      </c>
      <c r="AI12" s="447">
        <f>AVERAGE('Cuadro Mando Integral Detallado'!AC272:AC274)</f>
        <v>0</v>
      </c>
      <c r="AJ12" s="402">
        <f t="shared" si="15"/>
        <v>0</v>
      </c>
      <c r="AK12" s="397">
        <f t="shared" si="16"/>
        <v>0</v>
      </c>
      <c r="AL12" s="397">
        <f t="shared" si="17"/>
        <v>0</v>
      </c>
      <c r="AM12" s="397">
        <f t="shared" si="18"/>
        <v>0</v>
      </c>
      <c r="AN12" s="398">
        <f t="shared" si="19"/>
        <v>0</v>
      </c>
      <c r="AO12" s="432"/>
      <c r="AP12" s="447" t="e">
        <f>AVERAGE('Cuadro Mando Integral Detallado'!AG272:AG274)</f>
        <v>#DIV/0!</v>
      </c>
      <c r="AQ12" s="402" t="e">
        <f t="shared" si="20"/>
        <v>#DIV/0!</v>
      </c>
      <c r="AR12" s="393" t="e">
        <f t="shared" si="21"/>
        <v>#DIV/0!</v>
      </c>
      <c r="AS12" s="393" t="e">
        <f t="shared" si="22"/>
        <v>#DIV/0!</v>
      </c>
      <c r="AT12" s="393" t="e">
        <f t="shared" si="23"/>
        <v>#DIV/0!</v>
      </c>
      <c r="AU12" s="394" t="e">
        <f t="shared" si="24"/>
        <v>#DIV/0!</v>
      </c>
      <c r="AV12" s="447">
        <f>AVERAGE('Cuadro Mando Integral Detallado'!AI272:AI274)</f>
        <v>0</v>
      </c>
      <c r="AW12" s="402">
        <f t="shared" si="29"/>
        <v>0</v>
      </c>
      <c r="AX12" s="397">
        <f t="shared" si="25"/>
        <v>0</v>
      </c>
      <c r="AY12" s="397">
        <f t="shared" si="26"/>
        <v>0</v>
      </c>
      <c r="AZ12" s="397">
        <f t="shared" si="27"/>
        <v>0</v>
      </c>
      <c r="BA12" s="398">
        <f t="shared" si="28"/>
        <v>0</v>
      </c>
    </row>
    <row r="13" spans="1:53" ht="36" x14ac:dyDescent="0.25">
      <c r="A13" s="448" t="s">
        <v>996</v>
      </c>
      <c r="B13" s="445"/>
      <c r="C13" s="447">
        <f>AVERAGE('Cuadro Mando Integral Detallado'!L277:L279)</f>
        <v>0.66666666666666663</v>
      </c>
      <c r="D13" s="402">
        <f t="shared" si="30"/>
        <v>0.66666666666666663</v>
      </c>
      <c r="E13" s="393">
        <f t="shared" si="31"/>
        <v>0.66666666666666663</v>
      </c>
      <c r="F13" s="393">
        <f t="shared" si="32"/>
        <v>0.66666666666666663</v>
      </c>
      <c r="G13" s="393">
        <f t="shared" si="33"/>
        <v>0.66666666666666663</v>
      </c>
      <c r="H13" s="394">
        <f t="shared" si="34"/>
        <v>0.66666666666666663</v>
      </c>
      <c r="I13" s="447">
        <f>AVERAGE('Cuadro Mando Integral Detallado'!O277:O279)</f>
        <v>0.16666666666666666</v>
      </c>
      <c r="J13" s="396">
        <f t="shared" si="35"/>
        <v>0.16666666666666666</v>
      </c>
      <c r="K13" s="397">
        <f t="shared" si="36"/>
        <v>0.16666666666666666</v>
      </c>
      <c r="L13" s="397">
        <f t="shared" si="37"/>
        <v>0.16666666666666666</v>
      </c>
      <c r="M13" s="397">
        <f t="shared" si="38"/>
        <v>0.16666666666666666</v>
      </c>
      <c r="N13" s="398">
        <f t="shared" si="39"/>
        <v>0.16666666666666666</v>
      </c>
      <c r="O13" s="11"/>
      <c r="P13" s="447">
        <f>AVERAGE('Cuadro Mando Integral Detallado'!S277:S279)</f>
        <v>0.77777777777777768</v>
      </c>
      <c r="Q13" s="402">
        <f t="shared" si="0"/>
        <v>0.77777777777777768</v>
      </c>
      <c r="R13" s="393">
        <f t="shared" si="1"/>
        <v>0.77777777777777768</v>
      </c>
      <c r="S13" s="393">
        <f t="shared" si="2"/>
        <v>0.77777777777777768</v>
      </c>
      <c r="T13" s="393">
        <f t="shared" si="3"/>
        <v>0.77777777777777768</v>
      </c>
      <c r="U13" s="394">
        <f t="shared" si="4"/>
        <v>0.77777777777777768</v>
      </c>
      <c r="V13" s="447">
        <f>AVERAGE('Cuadro Mando Integral Detallado'!V277:V279)</f>
        <v>0.36363636363636359</v>
      </c>
      <c r="W13" s="396">
        <f t="shared" si="40"/>
        <v>0.36363636363636359</v>
      </c>
      <c r="X13" s="397">
        <f t="shared" si="41"/>
        <v>0.36363636363636359</v>
      </c>
      <c r="Y13" s="397">
        <f t="shared" si="42"/>
        <v>0.36363636363636359</v>
      </c>
      <c r="Z13" s="397">
        <f t="shared" si="43"/>
        <v>0.36363636363636359</v>
      </c>
      <c r="AA13" s="398">
        <f t="shared" si="44"/>
        <v>0.36363636363636359</v>
      </c>
      <c r="AB13" s="432"/>
      <c r="AC13" s="447">
        <f>AVERAGE('Cuadro Mando Integral Detallado'!Z277:Z279)</f>
        <v>0</v>
      </c>
      <c r="AD13" s="402">
        <f t="shared" si="10"/>
        <v>0</v>
      </c>
      <c r="AE13" s="393">
        <f t="shared" si="11"/>
        <v>0</v>
      </c>
      <c r="AF13" s="393">
        <f t="shared" si="12"/>
        <v>0</v>
      </c>
      <c r="AG13" s="393">
        <f t="shared" si="13"/>
        <v>0</v>
      </c>
      <c r="AH13" s="394">
        <f t="shared" si="14"/>
        <v>0</v>
      </c>
      <c r="AI13" s="447">
        <f>AVERAGE('Cuadro Mando Integral Detallado'!AC277:AC279)</f>
        <v>0.36363636363636359</v>
      </c>
      <c r="AJ13" s="402">
        <f t="shared" si="15"/>
        <v>0.36363636363636359</v>
      </c>
      <c r="AK13" s="397">
        <f t="shared" si="16"/>
        <v>0.36363636363636359</v>
      </c>
      <c r="AL13" s="397">
        <f t="shared" si="17"/>
        <v>0.36363636363636359</v>
      </c>
      <c r="AM13" s="397">
        <f t="shared" si="18"/>
        <v>0.36363636363636359</v>
      </c>
      <c r="AN13" s="398">
        <f t="shared" si="19"/>
        <v>0.36363636363636359</v>
      </c>
      <c r="AO13" s="432"/>
      <c r="AP13" s="447">
        <f>AVERAGE('Cuadro Mando Integral Detallado'!AG277:AG279)</f>
        <v>0</v>
      </c>
      <c r="AQ13" s="402">
        <f t="shared" si="20"/>
        <v>0</v>
      </c>
      <c r="AR13" s="393">
        <f t="shared" si="21"/>
        <v>0</v>
      </c>
      <c r="AS13" s="393">
        <f t="shared" si="22"/>
        <v>0</v>
      </c>
      <c r="AT13" s="393">
        <f t="shared" si="23"/>
        <v>0</v>
      </c>
      <c r="AU13" s="394">
        <f t="shared" si="24"/>
        <v>0</v>
      </c>
      <c r="AV13" s="447">
        <f>AVERAGE('Cuadro Mando Integral Detallado'!AI277:AI279)</f>
        <v>0.36363636363636359</v>
      </c>
      <c r="AW13" s="402">
        <f>+AV13</f>
        <v>0.36363636363636359</v>
      </c>
      <c r="AX13" s="397">
        <f t="shared" si="25"/>
        <v>0.36363636363636359</v>
      </c>
      <c r="AY13" s="397">
        <f t="shared" si="26"/>
        <v>0.36363636363636359</v>
      </c>
      <c r="AZ13" s="397">
        <f t="shared" si="27"/>
        <v>0.36363636363636359</v>
      </c>
      <c r="BA13" s="398">
        <f t="shared" si="28"/>
        <v>0.36363636363636359</v>
      </c>
    </row>
    <row r="14" spans="1:53" ht="36" x14ac:dyDescent="0.25">
      <c r="A14" s="448" t="s">
        <v>1233</v>
      </c>
      <c r="B14" s="445"/>
      <c r="C14" s="447">
        <f>AVERAGE('Cuadro Mando Integral Detallado'!L309:L326,'Cuadro Mando Integral Detallado'!L353:L355,'Cuadro Mando Integral Detallado'!L358:L359,'Cuadro Mando Integral Detallado'!L177,'Cuadro Mando Integral Detallado'!L257:L271,'Cuadro Mando Integral Detallado'!L305:L308,'Cuadro Mando Integral Detallado'!L327:L350,'Cuadro Mando Integral Detallado'!L272:L274,'Cuadro Mando Integral Detallado'!L277:L279)</f>
        <v>0.81818181818181823</v>
      </c>
      <c r="D14" s="402">
        <f t="shared" si="30"/>
        <v>0.81818181818181823</v>
      </c>
      <c r="E14" s="393">
        <f t="shared" si="31"/>
        <v>0.81818181818181823</v>
      </c>
      <c r="F14" s="393">
        <f t="shared" si="32"/>
        <v>0.81818181818181823</v>
      </c>
      <c r="G14" s="393">
        <f t="shared" si="33"/>
        <v>0.81818181818181823</v>
      </c>
      <c r="H14" s="394">
        <f t="shared" si="34"/>
        <v>0.81818181818181823</v>
      </c>
      <c r="I14" s="447">
        <f>AVERAGE('Cuadro Mando Integral Detallado'!O309:O326,'Cuadro Mando Integral Detallado'!O353,'Cuadro Mando Integral Detallado'!O354:O355,'Cuadro Mando Integral Detallado'!O358:O359,'Cuadro Mando Integral Detallado'!O177,'Cuadro Mando Integral Detallado'!O257:O271,'Cuadro Mando Integral Detallado'!O305:O308,'Cuadro Mando Integral Detallado'!O327:O350,'Cuadro Mando Integral Detallado'!O272:O274,'Cuadro Mando Integral Detallado'!O277:O279)</f>
        <v>0.32296650717703351</v>
      </c>
      <c r="J14" s="396">
        <f t="shared" si="35"/>
        <v>0.32296650717703351</v>
      </c>
      <c r="K14" s="397">
        <f t="shared" si="36"/>
        <v>0.32296650717703351</v>
      </c>
      <c r="L14" s="397">
        <f t="shared" si="37"/>
        <v>0.32296650717703351</v>
      </c>
      <c r="M14" s="397">
        <f t="shared" si="38"/>
        <v>0.32296650717703351</v>
      </c>
      <c r="N14" s="398">
        <f t="shared" si="39"/>
        <v>0.32296650717703351</v>
      </c>
      <c r="O14" s="11"/>
      <c r="P14" s="447">
        <f>AVERAGE('Cuadro Mando Integral Detallado'!S309:S326,'Cuadro Mando Integral Detallado'!S351,'Cuadro Mando Integral Detallado'!S353:S355,'Cuadro Mando Integral Detallado'!S358:S359,'Cuadro Mando Integral Detallado'!S177,'Cuadro Mando Integral Detallado'!S257:S271,'Cuadro Mando Integral Detallado'!S305:S308,'Cuadro Mando Integral Detallado'!S327:S350,'Cuadro Mando Integral Detallado'!S272:S274,'Cuadro Mando Integral Detallado'!S277:S279)</f>
        <v>0.75555555555555565</v>
      </c>
      <c r="Q14" s="402">
        <f>+P14</f>
        <v>0.75555555555555565</v>
      </c>
      <c r="R14" s="393">
        <f>+P14</f>
        <v>0.75555555555555565</v>
      </c>
      <c r="S14" s="393">
        <f>+P14</f>
        <v>0.75555555555555565</v>
      </c>
      <c r="T14" s="393">
        <f>+P14</f>
        <v>0.75555555555555565</v>
      </c>
      <c r="U14" s="394">
        <f>+P14</f>
        <v>0.75555555555555565</v>
      </c>
      <c r="V14" s="447">
        <f>AVERAGE('Cuadro Mando Integral Detallado'!V309:V326,'Cuadro Mando Integral Detallado'!V351,'Cuadro Mando Integral Detallado'!V353:V355,'Cuadro Mando Integral Detallado'!V358:V359,'Cuadro Mando Integral Detallado'!V177,'Cuadro Mando Integral Detallado'!V257:V271,'Cuadro Mando Integral Detallado'!V305:V308,'Cuadro Mando Integral Detallado'!V327:V350,'Cuadro Mando Integral Detallado'!V272:V274,'Cuadro Mando Integral Detallado'!V277:V279)</f>
        <v>0.41197058302321454</v>
      </c>
      <c r="W14" s="396">
        <f t="shared" si="40"/>
        <v>0.41197058302321454</v>
      </c>
      <c r="X14" s="397">
        <f t="shared" si="41"/>
        <v>0.41197058302321454</v>
      </c>
      <c r="Y14" s="397">
        <f t="shared" si="42"/>
        <v>0.41197058302321454</v>
      </c>
      <c r="Z14" s="397">
        <f t="shared" si="43"/>
        <v>0.41197058302321454</v>
      </c>
      <c r="AA14" s="398">
        <f t="shared" si="44"/>
        <v>0.41197058302321454</v>
      </c>
      <c r="AB14" s="432"/>
      <c r="AC14" s="447">
        <f>AVERAGE('Cuadro Mando Integral Detallado'!Z309:Z326,'Cuadro Mando Integral Detallado'!Z353,'Cuadro Mando Integral Detallado'!Z354:Z355,'Cuadro Mando Integral Detallado'!Z358:Z359,'Cuadro Mando Integral Detallado'!Z177,'Cuadro Mando Integral Detallado'!Z257:Z271,'Cuadro Mando Integral Detallado'!Z305:Z308,'Cuadro Mando Integral Detallado'!Z327:Z350,'Cuadro Mando Integral Detallado'!Z272:Z274,'Cuadro Mando Integral Detallado'!Z277:Z279)</f>
        <v>0</v>
      </c>
      <c r="AD14" s="402"/>
      <c r="AE14" s="393"/>
      <c r="AF14" s="393"/>
      <c r="AG14" s="393"/>
      <c r="AH14" s="394"/>
      <c r="AI14" s="447">
        <f>AVERAGE('Cuadro Mando Integral Detallado'!AC309:AC326,'Cuadro Mando Integral Detallado'!AC353,'Cuadro Mando Integral Detallado'!AC354:AC355,'Cuadro Mando Integral Detallado'!AC358:AC359,'Cuadro Mando Integral Detallado'!AC177,'Cuadro Mando Integral Detallado'!AC257:AC271,'Cuadro Mando Integral Detallado'!AC305:AC308,'Cuadro Mando Integral Detallado'!AC327:AC350,'Cuadro Mando Integral Detallado'!AC272:AC274,'Cuadro Mando Integral Detallado'!AC277:AC279)</f>
        <v>0.21810207336523124</v>
      </c>
      <c r="AJ14" s="402"/>
      <c r="AK14" s="397"/>
      <c r="AL14" s="397"/>
      <c r="AM14" s="397"/>
      <c r="AN14" s="398"/>
      <c r="AO14" s="432"/>
      <c r="AP14" s="447">
        <f>AVERAGE('Cuadro Mando Integral Detallado'!AG309:AG326,'Cuadro Mando Integral Detallado'!AG353,'Cuadro Mando Integral Detallado'!AG354:AG355,'Cuadro Mando Integral Detallado'!AG358:AG359,'Cuadro Mando Integral Detallado'!AG177,'Cuadro Mando Integral Detallado'!AG257:AG271,'Cuadro Mando Integral Detallado'!AG305:AG308,'Cuadro Mando Integral Detallado'!AG327:AG350,'Cuadro Mando Integral Detallado'!AG272:AG274,'Cuadro Mando Integral Detallado'!AG277:AG279)</f>
        <v>4.3478260869565216E-2</v>
      </c>
      <c r="AQ14" s="402"/>
      <c r="AR14" s="393"/>
      <c r="AS14" s="393"/>
      <c r="AT14" s="393"/>
      <c r="AU14" s="394"/>
      <c r="AV14" s="447">
        <f>AVERAGE('Cuadro Mando Integral Detallado'!AI309:AI326,'Cuadro Mando Integral Detallado'!AI353,'Cuadro Mando Integral Detallado'!AI354:AI355,'Cuadro Mando Integral Detallado'!AI358:AI359,'Cuadro Mando Integral Detallado'!AI177,'Cuadro Mando Integral Detallado'!AI257:AI271,'Cuadro Mando Integral Detallado'!AI305:AI308,'Cuadro Mando Integral Detallado'!AI327:AI350,'Cuadro Mando Integral Detallado'!AI272:AI274,'Cuadro Mando Integral Detallado'!AI277:AI279)</f>
        <v>0.18538676236044654</v>
      </c>
      <c r="AW14" s="402"/>
      <c r="AX14" s="397"/>
      <c r="AY14" s="397"/>
      <c r="AZ14" s="397"/>
      <c r="BA14" s="398"/>
    </row>
    <row r="15" spans="1:53" ht="54" x14ac:dyDescent="0.25">
      <c r="A15" s="448" t="s">
        <v>1232</v>
      </c>
      <c r="B15" s="445"/>
      <c r="C15" s="447" t="e">
        <f>AVERAGE('Cuadro Mando Integral Detallado'!L293)</f>
        <v>#DIV/0!</v>
      </c>
      <c r="D15" s="402" t="e">
        <f t="shared" si="30"/>
        <v>#DIV/0!</v>
      </c>
      <c r="E15" s="393" t="e">
        <f t="shared" si="31"/>
        <v>#DIV/0!</v>
      </c>
      <c r="F15" s="393" t="e">
        <f t="shared" si="32"/>
        <v>#DIV/0!</v>
      </c>
      <c r="G15" s="393" t="e">
        <f t="shared" si="33"/>
        <v>#DIV/0!</v>
      </c>
      <c r="H15" s="394" t="e">
        <f t="shared" si="34"/>
        <v>#DIV/0!</v>
      </c>
      <c r="I15" s="447" t="e">
        <f>AVERAGE('Cuadro Mando Integral Detallado'!O293)</f>
        <v>#DIV/0!</v>
      </c>
      <c r="J15" s="396" t="e">
        <f t="shared" si="35"/>
        <v>#DIV/0!</v>
      </c>
      <c r="K15" s="397" t="e">
        <f t="shared" si="36"/>
        <v>#DIV/0!</v>
      </c>
      <c r="L15" s="397" t="e">
        <f t="shared" si="37"/>
        <v>#DIV/0!</v>
      </c>
      <c r="M15" s="397" t="e">
        <f t="shared" si="38"/>
        <v>#DIV/0!</v>
      </c>
      <c r="N15" s="398" t="e">
        <f t="shared" si="39"/>
        <v>#DIV/0!</v>
      </c>
      <c r="O15" s="11"/>
      <c r="P15" s="447" t="e">
        <f>AVERAGE('Cuadro Mando Integral Detallado'!S293)</f>
        <v>#DIV/0!</v>
      </c>
      <c r="Q15" s="402" t="e">
        <f t="shared" ref="Q15:Q17" si="45">+P15</f>
        <v>#DIV/0!</v>
      </c>
      <c r="R15" s="393" t="e">
        <f t="shared" ref="R15:R17" si="46">+P15</f>
        <v>#DIV/0!</v>
      </c>
      <c r="S15" s="393" t="e">
        <f t="shared" ref="S15:S17" si="47">+P15</f>
        <v>#DIV/0!</v>
      </c>
      <c r="T15" s="393" t="e">
        <f t="shared" ref="T15:T17" si="48">+P15</f>
        <v>#DIV/0!</v>
      </c>
      <c r="U15" s="394" t="e">
        <f t="shared" ref="U15:U17" si="49">+P15</f>
        <v>#DIV/0!</v>
      </c>
      <c r="V15" s="447" t="e">
        <f>AVERAGE('Cuadro Mando Integral Detallado'!V293)</f>
        <v>#DIV/0!</v>
      </c>
      <c r="W15" s="396" t="e">
        <f t="shared" si="40"/>
        <v>#DIV/0!</v>
      </c>
      <c r="X15" s="397" t="e">
        <f t="shared" si="41"/>
        <v>#DIV/0!</v>
      </c>
      <c r="Y15" s="397" t="e">
        <f t="shared" si="42"/>
        <v>#DIV/0!</v>
      </c>
      <c r="Z15" s="397" t="e">
        <f t="shared" si="43"/>
        <v>#DIV/0!</v>
      </c>
      <c r="AA15" s="398" t="e">
        <f t="shared" si="44"/>
        <v>#DIV/0!</v>
      </c>
      <c r="AB15" s="432"/>
      <c r="AC15" s="447" t="e">
        <f>AVERAGE('Cuadro Mando Integral Detallado'!Z293)</f>
        <v>#DIV/0!</v>
      </c>
      <c r="AD15" s="402"/>
      <c r="AE15" s="393"/>
      <c r="AF15" s="393"/>
      <c r="AG15" s="393"/>
      <c r="AH15" s="394"/>
      <c r="AI15" s="447" t="e">
        <f>AVERAGE('Cuadro Mando Integral Detallado'!AC293)</f>
        <v>#DIV/0!</v>
      </c>
      <c r="AJ15" s="402"/>
      <c r="AK15" s="397"/>
      <c r="AL15" s="397"/>
      <c r="AM15" s="397"/>
      <c r="AN15" s="398"/>
      <c r="AO15" s="432"/>
      <c r="AP15" s="447">
        <f>AVERAGE('Cuadro Mando Integral Detallado'!AG293)</f>
        <v>0</v>
      </c>
      <c r="AQ15" s="402"/>
      <c r="AR15" s="393"/>
      <c r="AS15" s="393"/>
      <c r="AT15" s="393"/>
      <c r="AU15" s="394"/>
      <c r="AV15" s="447">
        <f>AVERAGE('Cuadro Mando Integral Detallado'!AI293)</f>
        <v>0</v>
      </c>
      <c r="AW15" s="402"/>
      <c r="AX15" s="397"/>
      <c r="AY15" s="397"/>
      <c r="AZ15" s="397"/>
      <c r="BA15" s="398"/>
    </row>
    <row r="16" spans="1:53" ht="36" x14ac:dyDescent="0.25">
      <c r="A16" s="448" t="s">
        <v>332</v>
      </c>
      <c r="B16" s="445"/>
      <c r="C16" s="447">
        <f>AVERAGE('Cuadro Mando Integral Detallado'!L189:L191,'Cuadro Mando Integral Detallado'!L283:L290,'Cuadro Mando Integral Detallado'!L354:L355)</f>
        <v>1</v>
      </c>
      <c r="D16" s="402">
        <f t="shared" si="30"/>
        <v>1</v>
      </c>
      <c r="E16" s="393">
        <f t="shared" si="31"/>
        <v>1</v>
      </c>
      <c r="F16" s="393">
        <f t="shared" si="32"/>
        <v>1</v>
      </c>
      <c r="G16" s="393">
        <f t="shared" si="33"/>
        <v>1</v>
      </c>
      <c r="H16" s="394">
        <f t="shared" si="34"/>
        <v>1</v>
      </c>
      <c r="I16" s="447">
        <f>AVERAGE('Cuadro Mando Integral Detallado'!O192:O192,'Cuadro Mando Integral Detallado'!O283:O290,'Cuadro Mando Integral Detallado'!O354:O355)</f>
        <v>0.61842105263157887</v>
      </c>
      <c r="J16" s="396">
        <f t="shared" si="35"/>
        <v>0.61842105263157887</v>
      </c>
      <c r="K16" s="397">
        <f t="shared" si="36"/>
        <v>0.61842105263157887</v>
      </c>
      <c r="L16" s="397">
        <f t="shared" si="37"/>
        <v>0.61842105263157887</v>
      </c>
      <c r="M16" s="397">
        <f t="shared" si="38"/>
        <v>0.61842105263157887</v>
      </c>
      <c r="N16" s="398">
        <f t="shared" si="39"/>
        <v>0.61842105263157887</v>
      </c>
      <c r="O16" s="11"/>
      <c r="P16" s="447">
        <f>AVERAGE('Cuadro Mando Integral Detallado'!S180:S181,'Cuadro Mando Integral Detallado'!S190,'Cuadro Mando Integral Detallado'!S192,'Cuadro Mando Integral Detallado'!S280,'Cuadro Mando Integral Detallado'!S287:S290,'Cuadro Mando Integral Detallado'!S295:S296,'Cuadro Mando Integral Detallado'!S354:S355)</f>
        <v>0.8</v>
      </c>
      <c r="Q16" s="402">
        <f t="shared" si="45"/>
        <v>0.8</v>
      </c>
      <c r="R16" s="393">
        <f t="shared" si="46"/>
        <v>0.8</v>
      </c>
      <c r="S16" s="393">
        <f t="shared" si="47"/>
        <v>0.8</v>
      </c>
      <c r="T16" s="393">
        <f t="shared" si="48"/>
        <v>0.8</v>
      </c>
      <c r="U16" s="394">
        <f t="shared" si="49"/>
        <v>0.8</v>
      </c>
      <c r="V16" s="447">
        <f>AVERAGE('Cuadro Mando Integral Detallado'!V180:V181,'Cuadro Mando Integral Detallado'!V190,'Cuadro Mando Integral Detallado'!V192,'Cuadro Mando Integral Detallado'!V280,'Cuadro Mando Integral Detallado'!V287:V290,'Cuadro Mando Integral Detallado'!V295:V296,'Cuadro Mando Integral Detallado'!V354:V355)</f>
        <v>0.52631578947368418</v>
      </c>
      <c r="W16" s="396">
        <f t="shared" si="40"/>
        <v>0.52631578947368418</v>
      </c>
      <c r="X16" s="397">
        <f t="shared" si="41"/>
        <v>0.52631578947368418</v>
      </c>
      <c r="Y16" s="397">
        <f t="shared" si="42"/>
        <v>0.52631578947368418</v>
      </c>
      <c r="Z16" s="397">
        <f t="shared" si="43"/>
        <v>0.52631578947368418</v>
      </c>
      <c r="AA16" s="398">
        <f t="shared" si="44"/>
        <v>0.52631578947368418</v>
      </c>
      <c r="AB16" s="432"/>
      <c r="AC16" s="447">
        <f>AVERAGE('Cuadro Mando Integral Detallado'!Z283:Z290,'Cuadro Mando Integral Detallado'!Z354:Z355)</f>
        <v>0</v>
      </c>
      <c r="AD16" s="402"/>
      <c r="AE16" s="393"/>
      <c r="AF16" s="393"/>
      <c r="AG16" s="393"/>
      <c r="AH16" s="394"/>
      <c r="AI16" s="447">
        <f>AVERAGE('Cuadro Mando Integral Detallado'!AC283:AC290,'Cuadro Mando Integral Detallado'!AC354:AC355)</f>
        <v>0.55756578947368418</v>
      </c>
      <c r="AJ16" s="402"/>
      <c r="AK16" s="397"/>
      <c r="AL16" s="397"/>
      <c r="AM16" s="397"/>
      <c r="AN16" s="398"/>
      <c r="AO16" s="432"/>
      <c r="AP16" s="447">
        <f>AVERAGE('Cuadro Mando Integral Detallado'!AG283:AG290,'Cuadro Mando Integral Detallado'!AG354:AG355)</f>
        <v>0</v>
      </c>
      <c r="AQ16" s="402"/>
      <c r="AR16" s="393"/>
      <c r="AS16" s="393"/>
      <c r="AT16" s="393"/>
      <c r="AU16" s="394"/>
      <c r="AV16" s="447">
        <f>AVERAGE('Cuadro Mando Integral Detallado'!AI283:AI290,'Cuadro Mando Integral Detallado'!AI354:AI355)</f>
        <v>0.49561403508771928</v>
      </c>
      <c r="AW16" s="402"/>
      <c r="AX16" s="397"/>
      <c r="AY16" s="397"/>
      <c r="AZ16" s="397"/>
      <c r="BA16" s="398"/>
    </row>
    <row r="17" spans="1:53" ht="54" x14ac:dyDescent="0.25">
      <c r="A17" s="448" t="s">
        <v>1000</v>
      </c>
      <c r="B17" s="445"/>
      <c r="C17" s="447" t="e">
        <f>AVERAGE('Cuadro Mando Integral Detallado'!L295:L296)</f>
        <v>#DIV/0!</v>
      </c>
      <c r="D17" s="402" t="e">
        <f t="shared" si="30"/>
        <v>#DIV/0!</v>
      </c>
      <c r="E17" s="393" t="e">
        <f t="shared" si="31"/>
        <v>#DIV/0!</v>
      </c>
      <c r="F17" s="393" t="e">
        <f t="shared" si="32"/>
        <v>#DIV/0!</v>
      </c>
      <c r="G17" s="393" t="e">
        <f t="shared" si="33"/>
        <v>#DIV/0!</v>
      </c>
      <c r="H17" s="394" t="e">
        <f t="shared" si="34"/>
        <v>#DIV/0!</v>
      </c>
      <c r="I17" s="447" t="e">
        <f>AVERAGE('Cuadro Mando Integral Detallado'!O295:O296)</f>
        <v>#DIV/0!</v>
      </c>
      <c r="J17" s="396" t="e">
        <f t="shared" si="35"/>
        <v>#DIV/0!</v>
      </c>
      <c r="K17" s="397" t="e">
        <f t="shared" si="36"/>
        <v>#DIV/0!</v>
      </c>
      <c r="L17" s="397" t="e">
        <f t="shared" si="37"/>
        <v>#DIV/0!</v>
      </c>
      <c r="M17" s="397" t="e">
        <f t="shared" si="38"/>
        <v>#DIV/0!</v>
      </c>
      <c r="N17" s="398" t="e">
        <f t="shared" si="39"/>
        <v>#DIV/0!</v>
      </c>
      <c r="O17" s="11"/>
      <c r="P17" s="447">
        <f>AVERAGE('Cuadro Mando Integral Detallado'!S295:S296)</f>
        <v>0</v>
      </c>
      <c r="Q17" s="402">
        <f t="shared" si="45"/>
        <v>0</v>
      </c>
      <c r="R17" s="393">
        <f t="shared" si="46"/>
        <v>0</v>
      </c>
      <c r="S17" s="393">
        <f t="shared" si="47"/>
        <v>0</v>
      </c>
      <c r="T17" s="393">
        <f t="shared" si="48"/>
        <v>0</v>
      </c>
      <c r="U17" s="394">
        <f t="shared" si="49"/>
        <v>0</v>
      </c>
      <c r="V17" s="447">
        <f>AVERAGE('Cuadro Mando Integral Detallado'!V295:V296)</f>
        <v>0</v>
      </c>
      <c r="W17" s="396">
        <f t="shared" si="40"/>
        <v>0</v>
      </c>
      <c r="X17" s="397">
        <f t="shared" si="41"/>
        <v>0</v>
      </c>
      <c r="Y17" s="397">
        <f t="shared" si="42"/>
        <v>0</v>
      </c>
      <c r="Z17" s="397">
        <f t="shared" si="43"/>
        <v>0</v>
      </c>
      <c r="AA17" s="398">
        <f t="shared" si="44"/>
        <v>0</v>
      </c>
      <c r="AB17" s="432"/>
      <c r="AC17" s="447" t="e">
        <f>AVERAGE('Cuadro Mando Integral Detallado'!Z295:Z296)</f>
        <v>#DIV/0!</v>
      </c>
      <c r="AD17" s="402" t="e">
        <f t="shared" si="10"/>
        <v>#DIV/0!</v>
      </c>
      <c r="AE17" s="393" t="e">
        <f t="shared" si="11"/>
        <v>#DIV/0!</v>
      </c>
      <c r="AF17" s="393" t="e">
        <f t="shared" si="12"/>
        <v>#DIV/0!</v>
      </c>
      <c r="AG17" s="393" t="e">
        <f t="shared" si="13"/>
        <v>#DIV/0!</v>
      </c>
      <c r="AH17" s="394" t="e">
        <f t="shared" si="14"/>
        <v>#DIV/0!</v>
      </c>
      <c r="AI17" s="447">
        <f>AVERAGE('Cuadro Mando Integral Detallado'!AC295:AC296)</f>
        <v>0</v>
      </c>
      <c r="AJ17" s="402">
        <f t="shared" si="15"/>
        <v>0</v>
      </c>
      <c r="AK17" s="397">
        <f t="shared" si="16"/>
        <v>0</v>
      </c>
      <c r="AL17" s="397">
        <f t="shared" si="17"/>
        <v>0</v>
      </c>
      <c r="AM17" s="397">
        <f t="shared" si="18"/>
        <v>0</v>
      </c>
      <c r="AN17" s="398">
        <f t="shared" si="19"/>
        <v>0</v>
      </c>
      <c r="AO17" s="432"/>
      <c r="AP17" s="447">
        <f>AVERAGE('Cuadro Mando Integral Detallado'!AG295:AG296)</f>
        <v>0</v>
      </c>
      <c r="AQ17" s="402">
        <f t="shared" si="20"/>
        <v>0</v>
      </c>
      <c r="AR17" s="393">
        <f t="shared" si="21"/>
        <v>0</v>
      </c>
      <c r="AS17" s="393">
        <f t="shared" si="22"/>
        <v>0</v>
      </c>
      <c r="AT17" s="393">
        <f t="shared" si="23"/>
        <v>0</v>
      </c>
      <c r="AU17" s="394">
        <f t="shared" si="24"/>
        <v>0</v>
      </c>
      <c r="AV17" s="447">
        <f>AVERAGE('Cuadro Mando Integral Detallado'!AI295:AI296)</f>
        <v>0</v>
      </c>
      <c r="AW17" s="402">
        <f t="shared" si="29"/>
        <v>0</v>
      </c>
      <c r="AX17" s="397">
        <f t="shared" si="25"/>
        <v>0</v>
      </c>
      <c r="AY17" s="397">
        <f t="shared" si="26"/>
        <v>0</v>
      </c>
      <c r="AZ17" s="397">
        <f t="shared" si="27"/>
        <v>0</v>
      </c>
      <c r="BA17" s="398">
        <f t="shared" si="28"/>
        <v>0</v>
      </c>
    </row>
    <row r="18" spans="1:53" ht="18.75" thickBot="1" x14ac:dyDescent="0.3">
      <c r="A18" s="404" t="s">
        <v>995</v>
      </c>
      <c r="B18" s="449"/>
      <c r="C18" s="450">
        <f>AVERAGE('Cuadro Mando Integral Detallado'!L282)</f>
        <v>0.59493670886075944</v>
      </c>
      <c r="D18" s="416">
        <f>+C18</f>
        <v>0.59493670886075944</v>
      </c>
      <c r="E18" s="407">
        <f>+C18</f>
        <v>0.59493670886075944</v>
      </c>
      <c r="F18" s="407">
        <f>+C18</f>
        <v>0.59493670886075944</v>
      </c>
      <c r="G18" s="407">
        <f>+C18</f>
        <v>0.59493670886075944</v>
      </c>
      <c r="H18" s="408">
        <f>+C18</f>
        <v>0.59493670886075944</v>
      </c>
      <c r="I18" s="450">
        <f>AVERAGE('Cuadro Mando Integral Detallado'!O282)</f>
        <v>0.59493670886075944</v>
      </c>
      <c r="J18" s="410">
        <f>+I18</f>
        <v>0.59493670886075944</v>
      </c>
      <c r="K18" s="411">
        <f>+I18</f>
        <v>0.59493670886075944</v>
      </c>
      <c r="L18" s="411">
        <f>+I18</f>
        <v>0.59493670886075944</v>
      </c>
      <c r="M18" s="411">
        <f>+I18</f>
        <v>0.59493670886075944</v>
      </c>
      <c r="N18" s="412">
        <f>+I18</f>
        <v>0.59493670886075944</v>
      </c>
      <c r="O18" s="11"/>
      <c r="P18" s="450">
        <f>AVERAGE('Cuadro Mando Integral Detallado'!S281:S282)</f>
        <v>0.70186335403726707</v>
      </c>
      <c r="Q18" s="416">
        <f t="shared" si="0"/>
        <v>0.70186335403726707</v>
      </c>
      <c r="R18" s="407">
        <f t="shared" si="1"/>
        <v>0.70186335403726707</v>
      </c>
      <c r="S18" s="407">
        <f t="shared" si="2"/>
        <v>0.70186335403726707</v>
      </c>
      <c r="T18" s="407">
        <f t="shared" si="3"/>
        <v>0.70186335403726707</v>
      </c>
      <c r="U18" s="408">
        <f t="shared" si="4"/>
        <v>0.70186335403726707</v>
      </c>
      <c r="V18" s="450">
        <f>AVERAGE('Cuadro Mando Integral Detallado'!V281:V282)</f>
        <v>0.41197722567287781</v>
      </c>
      <c r="W18" s="410">
        <f t="shared" si="5"/>
        <v>0.41197722567287781</v>
      </c>
      <c r="X18" s="411">
        <f t="shared" si="6"/>
        <v>0.41197722567287781</v>
      </c>
      <c r="Y18" s="411">
        <f t="shared" si="7"/>
        <v>0.41197722567287781</v>
      </c>
      <c r="Z18" s="411">
        <f t="shared" si="8"/>
        <v>0.41197722567287781</v>
      </c>
      <c r="AA18" s="412">
        <f>+W18</f>
        <v>0.41197722567287781</v>
      </c>
      <c r="AB18" s="432"/>
      <c r="AC18" s="450" t="e">
        <f>AVERAGE('Cuadro Mando Integral Detallado'!Z282)</f>
        <v>#DIV/0!</v>
      </c>
      <c r="AD18" s="416" t="e">
        <f t="shared" si="10"/>
        <v>#DIV/0!</v>
      </c>
      <c r="AE18" s="407" t="e">
        <f t="shared" si="11"/>
        <v>#DIV/0!</v>
      </c>
      <c r="AF18" s="407" t="e">
        <f t="shared" si="12"/>
        <v>#DIV/0!</v>
      </c>
      <c r="AG18" s="407" t="e">
        <f t="shared" si="13"/>
        <v>#DIV/0!</v>
      </c>
      <c r="AH18" s="408" t="e">
        <f t="shared" si="14"/>
        <v>#DIV/0!</v>
      </c>
      <c r="AI18" s="450" t="e">
        <f>AVERAGE('Cuadro Mando Integral Detallado'!AC282)</f>
        <v>#VALUE!</v>
      </c>
      <c r="AJ18" s="416" t="e">
        <f t="shared" si="15"/>
        <v>#VALUE!</v>
      </c>
      <c r="AK18" s="411" t="e">
        <f t="shared" si="16"/>
        <v>#VALUE!</v>
      </c>
      <c r="AL18" s="411" t="e">
        <f t="shared" si="17"/>
        <v>#VALUE!</v>
      </c>
      <c r="AM18" s="411" t="e">
        <f t="shared" si="18"/>
        <v>#VALUE!</v>
      </c>
      <c r="AN18" s="412" t="e">
        <f t="shared" si="19"/>
        <v>#VALUE!</v>
      </c>
      <c r="AO18" s="432"/>
      <c r="AP18" s="450" t="e">
        <f>AVERAGE('Cuadro Mando Integral Detallado'!AG282)</f>
        <v>#DIV/0!</v>
      </c>
      <c r="AQ18" s="416" t="e">
        <f t="shared" si="20"/>
        <v>#DIV/0!</v>
      </c>
      <c r="AR18" s="407" t="e">
        <f t="shared" si="21"/>
        <v>#DIV/0!</v>
      </c>
      <c r="AS18" s="407" t="e">
        <f t="shared" si="22"/>
        <v>#DIV/0!</v>
      </c>
      <c r="AT18" s="407" t="e">
        <f t="shared" si="23"/>
        <v>#DIV/0!</v>
      </c>
      <c r="AU18" s="408" t="e">
        <f t="shared" si="24"/>
        <v>#DIV/0!</v>
      </c>
      <c r="AV18" s="450" t="e">
        <f>AVERAGE('Cuadro Mando Integral Detallado'!AI282)</f>
        <v>#VALUE!</v>
      </c>
      <c r="AW18" s="416" t="e">
        <f t="shared" si="29"/>
        <v>#VALUE!</v>
      </c>
      <c r="AX18" s="411" t="e">
        <f>+AV18</f>
        <v>#VALUE!</v>
      </c>
      <c r="AY18" s="411" t="e">
        <f t="shared" si="26"/>
        <v>#VALUE!</v>
      </c>
      <c r="AZ18" s="411" t="e">
        <f t="shared" si="27"/>
        <v>#VALUE!</v>
      </c>
      <c r="BA18" s="412" t="e">
        <f t="shared" si="28"/>
        <v>#VALUE!</v>
      </c>
    </row>
    <row r="19" spans="1:53" x14ac:dyDescent="0.25">
      <c r="A19" s="13"/>
    </row>
  </sheetData>
  <sheetProtection algorithmName="SHA-512" hashValue="SiN4MCFMjJcgRmVWDzNVUFrOA/w8O+kXsOr5HGZnXuqRRRfBZnw6NA82YUnMKCwrLQRHH6M/TUn2BX0RYsH2aA==" saltValue="CiO/YpihlhDtmL74RzQjXQ=="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290" priority="327" stopIfTrue="1" operator="between">
      <formula>0</formula>
      <formula>0.5</formula>
    </cfRule>
  </conditionalFormatting>
  <conditionalFormatting sqref="R6">
    <cfRule type="cellIs" dxfId="289" priority="326" operator="between">
      <formula>0.51</formula>
      <formula>0.75</formula>
    </cfRule>
  </conditionalFormatting>
  <conditionalFormatting sqref="S6">
    <cfRule type="cellIs" dxfId="288" priority="325" operator="between">
      <formula>0.76</formula>
      <formula>0.95</formula>
    </cfRule>
  </conditionalFormatting>
  <conditionalFormatting sqref="T6">
    <cfRule type="cellIs" dxfId="287" priority="324" operator="between">
      <formula>0.95</formula>
      <formula>1</formula>
    </cfRule>
  </conditionalFormatting>
  <conditionalFormatting sqref="U6">
    <cfRule type="cellIs" dxfId="286" priority="323" operator="greaterThan">
      <formula>1</formula>
    </cfRule>
  </conditionalFormatting>
  <conditionalFormatting sqref="Q7">
    <cfRule type="cellIs" dxfId="285" priority="322" stopIfTrue="1" operator="between">
      <formula>0</formula>
      <formula>0.5</formula>
    </cfRule>
  </conditionalFormatting>
  <conditionalFormatting sqref="R7">
    <cfRule type="cellIs" dxfId="284" priority="321" operator="between">
      <formula>0.51</formula>
      <formula>0.75</formula>
    </cfRule>
  </conditionalFormatting>
  <conditionalFormatting sqref="S7">
    <cfRule type="cellIs" dxfId="283" priority="320" operator="between">
      <formula>0.76</formula>
      <formula>0.95</formula>
    </cfRule>
  </conditionalFormatting>
  <conditionalFormatting sqref="T7">
    <cfRule type="cellIs" dxfId="282" priority="319" operator="between">
      <formula>0.95</formula>
      <formula>1</formula>
    </cfRule>
  </conditionalFormatting>
  <conditionalFormatting sqref="U7">
    <cfRule type="cellIs" dxfId="281" priority="318" operator="greaterThan">
      <formula>1</formula>
    </cfRule>
  </conditionalFormatting>
  <conditionalFormatting sqref="Q8">
    <cfRule type="cellIs" dxfId="280" priority="317" stopIfTrue="1" operator="between">
      <formula>0</formula>
      <formula>0.5</formula>
    </cfRule>
  </conditionalFormatting>
  <conditionalFormatting sqref="R8">
    <cfRule type="cellIs" dxfId="279" priority="316" operator="between">
      <formula>0.51</formula>
      <formula>0.75</formula>
    </cfRule>
  </conditionalFormatting>
  <conditionalFormatting sqref="S8">
    <cfRule type="cellIs" dxfId="278" priority="315" operator="between">
      <formula>0.76</formula>
      <formula>0.95</formula>
    </cfRule>
  </conditionalFormatting>
  <conditionalFormatting sqref="T8">
    <cfRule type="cellIs" dxfId="277" priority="314" operator="between">
      <formula>0.95</formula>
      <formula>1</formula>
    </cfRule>
  </conditionalFormatting>
  <conditionalFormatting sqref="U8">
    <cfRule type="cellIs" dxfId="276" priority="313" operator="greaterThan">
      <formula>1</formula>
    </cfRule>
  </conditionalFormatting>
  <conditionalFormatting sqref="Q9:Q10">
    <cfRule type="cellIs" dxfId="275" priority="312" stopIfTrue="1" operator="between">
      <formula>0</formula>
      <formula>0.5</formula>
    </cfRule>
  </conditionalFormatting>
  <conditionalFormatting sqref="R9:R10">
    <cfRule type="cellIs" dxfId="274" priority="311" operator="between">
      <formula>0.51</formula>
      <formula>0.75</formula>
    </cfRule>
  </conditionalFormatting>
  <conditionalFormatting sqref="S9:S10">
    <cfRule type="cellIs" dxfId="273" priority="310" operator="between">
      <formula>0.76</formula>
      <formula>0.95</formula>
    </cfRule>
  </conditionalFormatting>
  <conditionalFormatting sqref="T9:T10">
    <cfRule type="cellIs" dxfId="272" priority="309" operator="between">
      <formula>0.95</formula>
      <formula>1</formula>
    </cfRule>
  </conditionalFormatting>
  <conditionalFormatting sqref="U9:U10">
    <cfRule type="cellIs" dxfId="271" priority="308" operator="greaterThan">
      <formula>1</formula>
    </cfRule>
  </conditionalFormatting>
  <conditionalFormatting sqref="Q11">
    <cfRule type="cellIs" dxfId="270" priority="307" stopIfTrue="1" operator="between">
      <formula>0</formula>
      <formula>0.5</formula>
    </cfRule>
  </conditionalFormatting>
  <conditionalFormatting sqref="R11">
    <cfRule type="cellIs" dxfId="269" priority="306" operator="between">
      <formula>0.51</formula>
      <formula>0.75</formula>
    </cfRule>
  </conditionalFormatting>
  <conditionalFormatting sqref="S11">
    <cfRule type="cellIs" dxfId="268" priority="305" operator="between">
      <formula>0.76</formula>
      <formula>0.95</formula>
    </cfRule>
  </conditionalFormatting>
  <conditionalFormatting sqref="T11">
    <cfRule type="cellIs" dxfId="267" priority="304" operator="between">
      <formula>0.95</formula>
      <formula>1</formula>
    </cfRule>
  </conditionalFormatting>
  <conditionalFormatting sqref="U11">
    <cfRule type="cellIs" dxfId="266" priority="303" operator="greaterThan">
      <formula>1</formula>
    </cfRule>
  </conditionalFormatting>
  <conditionalFormatting sqref="Q12">
    <cfRule type="cellIs" dxfId="265" priority="302" stopIfTrue="1" operator="between">
      <formula>0</formula>
      <formula>0.5</formula>
    </cfRule>
  </conditionalFormatting>
  <conditionalFormatting sqref="R12">
    <cfRule type="cellIs" dxfId="264" priority="301" operator="between">
      <formula>0.51</formula>
      <formula>0.75</formula>
    </cfRule>
  </conditionalFormatting>
  <conditionalFormatting sqref="S12">
    <cfRule type="cellIs" dxfId="263" priority="300" operator="between">
      <formula>0.76</formula>
      <formula>0.95</formula>
    </cfRule>
  </conditionalFormatting>
  <conditionalFormatting sqref="T12">
    <cfRule type="cellIs" dxfId="262" priority="299" operator="between">
      <formula>0.95</formula>
      <formula>1</formula>
    </cfRule>
  </conditionalFormatting>
  <conditionalFormatting sqref="U12">
    <cfRule type="cellIs" dxfId="261" priority="298" operator="greaterThan">
      <formula>1</formula>
    </cfRule>
  </conditionalFormatting>
  <conditionalFormatting sqref="Q13">
    <cfRule type="cellIs" dxfId="260" priority="297" stopIfTrue="1" operator="between">
      <formula>0</formula>
      <formula>0.5</formula>
    </cfRule>
  </conditionalFormatting>
  <conditionalFormatting sqref="R13">
    <cfRule type="cellIs" dxfId="259" priority="296" operator="between">
      <formula>0.51</formula>
      <formula>0.75</formula>
    </cfRule>
  </conditionalFormatting>
  <conditionalFormatting sqref="S13">
    <cfRule type="cellIs" dxfId="258" priority="295" operator="between">
      <formula>0.76</formula>
      <formula>0.95</formula>
    </cfRule>
  </conditionalFormatting>
  <conditionalFormatting sqref="T13">
    <cfRule type="cellIs" dxfId="257" priority="294" operator="between">
      <formula>0.95</formula>
      <formula>1</formula>
    </cfRule>
  </conditionalFormatting>
  <conditionalFormatting sqref="U13">
    <cfRule type="cellIs" dxfId="256" priority="293" operator="greaterThan">
      <formula>1</formula>
    </cfRule>
  </conditionalFormatting>
  <conditionalFormatting sqref="Q18">
    <cfRule type="cellIs" dxfId="255" priority="287" stopIfTrue="1" operator="between">
      <formula>0</formula>
      <formula>0.5</formula>
    </cfRule>
  </conditionalFormatting>
  <conditionalFormatting sqref="R18">
    <cfRule type="cellIs" dxfId="254" priority="286" operator="between">
      <formula>0.51</formula>
      <formula>0.75</formula>
    </cfRule>
  </conditionalFormatting>
  <conditionalFormatting sqref="S18">
    <cfRule type="cellIs" dxfId="253" priority="285" operator="between">
      <formula>0.76</formula>
      <formula>0.95</formula>
    </cfRule>
  </conditionalFormatting>
  <conditionalFormatting sqref="T18">
    <cfRule type="cellIs" dxfId="252" priority="284" operator="between">
      <formula>0.95</formula>
      <formula>1</formula>
    </cfRule>
  </conditionalFormatting>
  <conditionalFormatting sqref="U18">
    <cfRule type="cellIs" dxfId="251" priority="283" operator="greaterThan">
      <formula>1</formula>
    </cfRule>
  </conditionalFormatting>
  <conditionalFormatting sqref="W7">
    <cfRule type="cellIs" dxfId="250" priority="282" stopIfTrue="1" operator="between">
      <formula>0</formula>
      <formula>0.255</formula>
    </cfRule>
  </conditionalFormatting>
  <conditionalFormatting sqref="X7">
    <cfRule type="cellIs" dxfId="249" priority="281" operator="between">
      <formula>0.2551</formula>
      <formula>0.375</formula>
    </cfRule>
  </conditionalFormatting>
  <conditionalFormatting sqref="Y7">
    <cfRule type="cellIs" dxfId="248" priority="280" operator="between">
      <formula>0.3751</formula>
      <formula>0.475</formula>
    </cfRule>
  </conditionalFormatting>
  <conditionalFormatting sqref="Z7">
    <cfRule type="cellIs" dxfId="247" priority="279" operator="between">
      <formula>0.48</formula>
      <formula>0.51</formula>
    </cfRule>
  </conditionalFormatting>
  <conditionalFormatting sqref="AA7">
    <cfRule type="cellIs" dxfId="246" priority="278" operator="greaterThan">
      <formula>0.505</formula>
    </cfRule>
  </conditionalFormatting>
  <conditionalFormatting sqref="W9">
    <cfRule type="cellIs" dxfId="245" priority="277" stopIfTrue="1" operator="between">
      <formula>0</formula>
      <formula>0.255</formula>
    </cfRule>
  </conditionalFormatting>
  <conditionalFormatting sqref="X9">
    <cfRule type="cellIs" dxfId="244" priority="276" operator="between">
      <formula>0.2551</formula>
      <formula>0.375</formula>
    </cfRule>
  </conditionalFormatting>
  <conditionalFormatting sqref="Y9">
    <cfRule type="cellIs" dxfId="243" priority="275" operator="between">
      <formula>0.38</formula>
      <formula>0.475</formula>
    </cfRule>
  </conditionalFormatting>
  <conditionalFormatting sqref="Z9">
    <cfRule type="cellIs" dxfId="242" priority="274" operator="between">
      <formula>0.48</formula>
      <formula>0.51</formula>
    </cfRule>
  </conditionalFormatting>
  <conditionalFormatting sqref="AA9">
    <cfRule type="cellIs" dxfId="241" priority="273" operator="greaterThan">
      <formula>0.505</formula>
    </cfRule>
  </conditionalFormatting>
  <conditionalFormatting sqref="W18">
    <cfRule type="cellIs" dxfId="240" priority="252" stopIfTrue="1" operator="between">
      <formula>0</formula>
      <formula>0.255</formula>
    </cfRule>
  </conditionalFormatting>
  <conditionalFormatting sqref="X18">
    <cfRule type="cellIs" dxfId="239" priority="251" operator="between">
      <formula>0.2551</formula>
      <formula>0.375</formula>
    </cfRule>
  </conditionalFormatting>
  <conditionalFormatting sqref="Y18">
    <cfRule type="cellIs" dxfId="238" priority="250" operator="between">
      <formula>0.38</formula>
      <formula>0.475</formula>
    </cfRule>
  </conditionalFormatting>
  <conditionalFormatting sqref="Z18">
    <cfRule type="cellIs" dxfId="237" priority="249" operator="between">
      <formula>0.48</formula>
      <formula>0.51</formula>
    </cfRule>
  </conditionalFormatting>
  <conditionalFormatting sqref="AA18">
    <cfRule type="cellIs" dxfId="236" priority="248" operator="greaterThan">
      <formula>0.505</formula>
    </cfRule>
  </conditionalFormatting>
  <conditionalFormatting sqref="AD6">
    <cfRule type="cellIs" dxfId="235" priority="247" stopIfTrue="1" operator="between">
      <formula>0</formula>
      <formula>0.5</formula>
    </cfRule>
  </conditionalFormatting>
  <conditionalFormatting sqref="AE6">
    <cfRule type="cellIs" dxfId="234" priority="246" operator="between">
      <formula>0.51</formula>
      <formula>0.75</formula>
    </cfRule>
  </conditionalFormatting>
  <conditionalFormatting sqref="AF6">
    <cfRule type="cellIs" dxfId="233" priority="245" operator="between">
      <formula>0.76</formula>
      <formula>0.95</formula>
    </cfRule>
  </conditionalFormatting>
  <conditionalFormatting sqref="AG6">
    <cfRule type="cellIs" dxfId="232" priority="244" operator="between">
      <formula>0.95</formula>
      <formula>1</formula>
    </cfRule>
  </conditionalFormatting>
  <conditionalFormatting sqref="AH6">
    <cfRule type="cellIs" dxfId="231" priority="243" operator="greaterThan">
      <formula>1</formula>
    </cfRule>
  </conditionalFormatting>
  <conditionalFormatting sqref="AD7">
    <cfRule type="cellIs" dxfId="230" priority="242" stopIfTrue="1" operator="between">
      <formula>0</formula>
      <formula>0.5</formula>
    </cfRule>
  </conditionalFormatting>
  <conditionalFormatting sqref="AE7">
    <cfRule type="cellIs" dxfId="229" priority="241" operator="between">
      <formula>0.51</formula>
      <formula>0.75</formula>
    </cfRule>
  </conditionalFormatting>
  <conditionalFormatting sqref="AF7">
    <cfRule type="cellIs" dxfId="228" priority="240" operator="between">
      <formula>0.76</formula>
      <formula>0.95</formula>
    </cfRule>
  </conditionalFormatting>
  <conditionalFormatting sqref="AG7">
    <cfRule type="cellIs" dxfId="227" priority="239" operator="between">
      <formula>0.95</formula>
      <formula>1</formula>
    </cfRule>
  </conditionalFormatting>
  <conditionalFormatting sqref="AH7">
    <cfRule type="cellIs" dxfId="226" priority="238" operator="greaterThan">
      <formula>1</formula>
    </cfRule>
  </conditionalFormatting>
  <conditionalFormatting sqref="AD8">
    <cfRule type="cellIs" dxfId="225" priority="237" stopIfTrue="1" operator="between">
      <formula>0</formula>
      <formula>0.5</formula>
    </cfRule>
  </conditionalFormatting>
  <conditionalFormatting sqref="AE8">
    <cfRule type="cellIs" dxfId="224" priority="236" operator="between">
      <formula>0.51</formula>
      <formula>0.75</formula>
    </cfRule>
  </conditionalFormatting>
  <conditionalFormatting sqref="AF8">
    <cfRule type="cellIs" dxfId="223" priority="235" operator="between">
      <formula>0.76</formula>
      <formula>0.95</formula>
    </cfRule>
  </conditionalFormatting>
  <conditionalFormatting sqref="AG8">
    <cfRule type="cellIs" dxfId="222" priority="234" operator="between">
      <formula>0.95</formula>
      <formula>1</formula>
    </cfRule>
  </conditionalFormatting>
  <conditionalFormatting sqref="AH8">
    <cfRule type="cellIs" dxfId="221" priority="233" operator="greaterThan">
      <formula>1</formula>
    </cfRule>
  </conditionalFormatting>
  <conditionalFormatting sqref="AD9:AD10">
    <cfRule type="cellIs" dxfId="220" priority="232" stopIfTrue="1" operator="between">
      <formula>0</formula>
      <formula>0.5</formula>
    </cfRule>
  </conditionalFormatting>
  <conditionalFormatting sqref="AE9:AE10">
    <cfRule type="cellIs" dxfId="219" priority="231" operator="between">
      <formula>0.51</formula>
      <formula>0.75</formula>
    </cfRule>
  </conditionalFormatting>
  <conditionalFormatting sqref="AF9:AF10">
    <cfRule type="cellIs" dxfId="218" priority="230" operator="between">
      <formula>0.76</formula>
      <formula>0.95</formula>
    </cfRule>
  </conditionalFormatting>
  <conditionalFormatting sqref="AG9:AG10">
    <cfRule type="cellIs" dxfId="217" priority="229" operator="between">
      <formula>0.95</formula>
      <formula>1</formula>
    </cfRule>
  </conditionalFormatting>
  <conditionalFormatting sqref="AH9:AH10">
    <cfRule type="cellIs" dxfId="216" priority="228" operator="greaterThan">
      <formula>1</formula>
    </cfRule>
  </conditionalFormatting>
  <conditionalFormatting sqref="AD11">
    <cfRule type="cellIs" dxfId="215" priority="227" stopIfTrue="1" operator="between">
      <formula>0</formula>
      <formula>0.5</formula>
    </cfRule>
  </conditionalFormatting>
  <conditionalFormatting sqref="AE11">
    <cfRule type="cellIs" dxfId="214" priority="226" operator="between">
      <formula>0.51</formula>
      <formula>0.75</formula>
    </cfRule>
  </conditionalFormatting>
  <conditionalFormatting sqref="AF11">
    <cfRule type="cellIs" dxfId="213" priority="225" operator="between">
      <formula>0.76</formula>
      <formula>0.95</formula>
    </cfRule>
  </conditionalFormatting>
  <conditionalFormatting sqref="AG11">
    <cfRule type="cellIs" dxfId="212" priority="224" operator="between">
      <formula>0.95</formula>
      <formula>1</formula>
    </cfRule>
  </conditionalFormatting>
  <conditionalFormatting sqref="AH11">
    <cfRule type="cellIs" dxfId="211" priority="223" operator="greaterThan">
      <formula>1</formula>
    </cfRule>
  </conditionalFormatting>
  <conditionalFormatting sqref="AD12">
    <cfRule type="cellIs" dxfId="210" priority="222" stopIfTrue="1" operator="between">
      <formula>0</formula>
      <formula>0.5</formula>
    </cfRule>
  </conditionalFormatting>
  <conditionalFormatting sqref="AE12">
    <cfRule type="cellIs" dxfId="209" priority="221" operator="between">
      <formula>0.51</formula>
      <formula>0.75</formula>
    </cfRule>
  </conditionalFormatting>
  <conditionalFormatting sqref="AF12">
    <cfRule type="cellIs" dxfId="208" priority="220" operator="between">
      <formula>0.76</formula>
      <formula>0.95</formula>
    </cfRule>
  </conditionalFormatting>
  <conditionalFormatting sqref="AG12">
    <cfRule type="cellIs" dxfId="207" priority="219" operator="between">
      <formula>0.95</formula>
      <formula>1</formula>
    </cfRule>
  </conditionalFormatting>
  <conditionalFormatting sqref="AH12">
    <cfRule type="cellIs" dxfId="206" priority="218" operator="greaterThan">
      <formula>1</formula>
    </cfRule>
  </conditionalFormatting>
  <conditionalFormatting sqref="AD13:AD16">
    <cfRule type="cellIs" dxfId="205" priority="217" stopIfTrue="1" operator="between">
      <formula>0</formula>
      <formula>0.5</formula>
    </cfRule>
  </conditionalFormatting>
  <conditionalFormatting sqref="AE13:AE16">
    <cfRule type="cellIs" dxfId="204" priority="216" operator="between">
      <formula>0.51</formula>
      <formula>0.75</formula>
    </cfRule>
  </conditionalFormatting>
  <conditionalFormatting sqref="AF13:AF16">
    <cfRule type="cellIs" dxfId="203" priority="215" operator="between">
      <formula>0.76</formula>
      <formula>0.95</formula>
    </cfRule>
  </conditionalFormatting>
  <conditionalFormatting sqref="AG13:AG16">
    <cfRule type="cellIs" dxfId="202" priority="214" operator="between">
      <formula>0.95</formula>
      <formula>1</formula>
    </cfRule>
  </conditionalFormatting>
  <conditionalFormatting sqref="AH13:AH16">
    <cfRule type="cellIs" dxfId="201" priority="213" operator="greaterThan">
      <formula>1</formula>
    </cfRule>
  </conditionalFormatting>
  <conditionalFormatting sqref="AD17">
    <cfRule type="cellIs" dxfId="200" priority="212" stopIfTrue="1" operator="between">
      <formula>0</formula>
      <formula>0.5</formula>
    </cfRule>
  </conditionalFormatting>
  <conditionalFormatting sqref="AE17">
    <cfRule type="cellIs" dxfId="199" priority="211" operator="between">
      <formula>0.51</formula>
      <formula>0.75</formula>
    </cfRule>
  </conditionalFormatting>
  <conditionalFormatting sqref="AF17">
    <cfRule type="cellIs" dxfId="198" priority="210" operator="between">
      <formula>0.76</formula>
      <formula>0.95</formula>
    </cfRule>
  </conditionalFormatting>
  <conditionalFormatting sqref="AG17">
    <cfRule type="cellIs" dxfId="197" priority="209" operator="between">
      <formula>0.95</formula>
      <formula>1</formula>
    </cfRule>
  </conditionalFormatting>
  <conditionalFormatting sqref="AH17">
    <cfRule type="cellIs" dxfId="196" priority="208" operator="greaterThan">
      <formula>1</formula>
    </cfRule>
  </conditionalFormatting>
  <conditionalFormatting sqref="AD18">
    <cfRule type="cellIs" dxfId="195" priority="207" stopIfTrue="1" operator="between">
      <formula>0</formula>
      <formula>0.5</formula>
    </cfRule>
  </conditionalFormatting>
  <conditionalFormatting sqref="AE18">
    <cfRule type="cellIs" dxfId="194" priority="206" operator="between">
      <formula>0.51</formula>
      <formula>0.75</formula>
    </cfRule>
  </conditionalFormatting>
  <conditionalFormatting sqref="AF18">
    <cfRule type="cellIs" dxfId="193" priority="205" operator="between">
      <formula>0.76</formula>
      <formula>0.95</formula>
    </cfRule>
  </conditionalFormatting>
  <conditionalFormatting sqref="AG18">
    <cfRule type="cellIs" dxfId="192" priority="204" operator="between">
      <formula>0.95</formula>
      <formula>1</formula>
    </cfRule>
  </conditionalFormatting>
  <conditionalFormatting sqref="AH18">
    <cfRule type="cellIs" dxfId="191" priority="203" operator="greaterThan">
      <formula>1</formula>
    </cfRule>
  </conditionalFormatting>
  <conditionalFormatting sqref="AJ6">
    <cfRule type="cellIs" dxfId="190" priority="202" stopIfTrue="1" operator="between">
      <formula>0</formula>
      <formula>0.375</formula>
    </cfRule>
  </conditionalFormatting>
  <conditionalFormatting sqref="AK6">
    <cfRule type="cellIs" dxfId="189" priority="201" operator="between">
      <formula>0.3751</formula>
      <formula>0.5625</formula>
    </cfRule>
  </conditionalFormatting>
  <conditionalFormatting sqref="AL6">
    <cfRule type="cellIs" dxfId="188" priority="200" operator="between">
      <formula>0.563</formula>
      <formula>0.7125</formula>
    </cfRule>
  </conditionalFormatting>
  <conditionalFormatting sqref="AM6">
    <cfRule type="cellIs" dxfId="187" priority="199" operator="between">
      <formula>0.713</formula>
      <formula>0.75</formula>
    </cfRule>
  </conditionalFormatting>
  <conditionalFormatting sqref="AN6">
    <cfRule type="cellIs" dxfId="186" priority="198" operator="greaterThan">
      <formula>0.755</formula>
    </cfRule>
  </conditionalFormatting>
  <conditionalFormatting sqref="AJ7">
    <cfRule type="cellIs" dxfId="185" priority="197" stopIfTrue="1" operator="between">
      <formula>0</formula>
      <formula>0.375</formula>
    </cfRule>
  </conditionalFormatting>
  <conditionalFormatting sqref="AK7">
    <cfRule type="cellIs" dxfId="184" priority="196" operator="between">
      <formula>0.3751</formula>
      <formula>0.5625</formula>
    </cfRule>
  </conditionalFormatting>
  <conditionalFormatting sqref="AL7">
    <cfRule type="cellIs" dxfId="183" priority="195" operator="between">
      <formula>0.563</formula>
      <formula>0.7125</formula>
    </cfRule>
  </conditionalFormatting>
  <conditionalFormatting sqref="AM7">
    <cfRule type="cellIs" dxfId="182" priority="194" operator="between">
      <formula>0.713</formula>
      <formula>0.75</formula>
    </cfRule>
  </conditionalFormatting>
  <conditionalFormatting sqref="AN7">
    <cfRule type="cellIs" dxfId="181" priority="193" operator="greaterThan">
      <formula>0.755</formula>
    </cfRule>
  </conditionalFormatting>
  <conditionalFormatting sqref="AJ8">
    <cfRule type="cellIs" dxfId="180" priority="192" stopIfTrue="1" operator="between">
      <formula>0</formula>
      <formula>0.375</formula>
    </cfRule>
  </conditionalFormatting>
  <conditionalFormatting sqref="AK8">
    <cfRule type="cellIs" dxfId="179" priority="191" operator="between">
      <formula>0.3751</formula>
      <formula>0.5625</formula>
    </cfRule>
  </conditionalFormatting>
  <conditionalFormatting sqref="AL8">
    <cfRule type="cellIs" dxfId="178" priority="190" operator="between">
      <formula>0.563</formula>
      <formula>0.7125</formula>
    </cfRule>
  </conditionalFormatting>
  <conditionalFormatting sqref="AM8">
    <cfRule type="cellIs" dxfId="177" priority="189" operator="between">
      <formula>0.713</formula>
      <formula>0.75</formula>
    </cfRule>
  </conditionalFormatting>
  <conditionalFormatting sqref="AN8">
    <cfRule type="cellIs" dxfId="176" priority="188" operator="greaterThan">
      <formula>0.755</formula>
    </cfRule>
  </conditionalFormatting>
  <conditionalFormatting sqref="AJ9:AJ10">
    <cfRule type="cellIs" dxfId="175" priority="187" stopIfTrue="1" operator="between">
      <formula>0</formula>
      <formula>0.375</formula>
    </cfRule>
  </conditionalFormatting>
  <conditionalFormatting sqref="AK9:AK10">
    <cfRule type="cellIs" dxfId="174" priority="186" operator="between">
      <formula>0.3751</formula>
      <formula>0.5625</formula>
    </cfRule>
  </conditionalFormatting>
  <conditionalFormatting sqref="AL9:AL10">
    <cfRule type="cellIs" dxfId="173" priority="185" operator="between">
      <formula>0.563</formula>
      <formula>0.7125</formula>
    </cfRule>
  </conditionalFormatting>
  <conditionalFormatting sqref="AM9:AM10">
    <cfRule type="cellIs" dxfId="172" priority="184" operator="between">
      <formula>0.713</formula>
      <formula>0.75</formula>
    </cfRule>
  </conditionalFormatting>
  <conditionalFormatting sqref="AN9:AN10">
    <cfRule type="cellIs" dxfId="171" priority="183" operator="greaterThan">
      <formula>0.755</formula>
    </cfRule>
  </conditionalFormatting>
  <conditionalFormatting sqref="AJ11">
    <cfRule type="cellIs" dxfId="170" priority="182" stopIfTrue="1" operator="between">
      <formula>0</formula>
      <formula>0.375</formula>
    </cfRule>
  </conditionalFormatting>
  <conditionalFormatting sqref="AK11">
    <cfRule type="cellIs" dxfId="169" priority="181" operator="between">
      <formula>0.3751</formula>
      <formula>0.5625</formula>
    </cfRule>
  </conditionalFormatting>
  <conditionalFormatting sqref="AL11">
    <cfRule type="cellIs" dxfId="168" priority="180" operator="between">
      <formula>0.563</formula>
      <formula>0.7125</formula>
    </cfRule>
  </conditionalFormatting>
  <conditionalFormatting sqref="AM11">
    <cfRule type="cellIs" dxfId="167" priority="179" operator="between">
      <formula>0.713</formula>
      <formula>0.75</formula>
    </cfRule>
  </conditionalFormatting>
  <conditionalFormatting sqref="AN11">
    <cfRule type="cellIs" dxfId="166" priority="178" operator="greaterThan">
      <formula>0.755</formula>
    </cfRule>
  </conditionalFormatting>
  <conditionalFormatting sqref="AJ12">
    <cfRule type="cellIs" dxfId="165" priority="177" stopIfTrue="1" operator="between">
      <formula>0</formula>
      <formula>0.375</formula>
    </cfRule>
  </conditionalFormatting>
  <conditionalFormatting sqref="AK12">
    <cfRule type="cellIs" dxfId="164" priority="176" operator="between">
      <formula>0.3751</formula>
      <formula>0.5625</formula>
    </cfRule>
  </conditionalFormatting>
  <conditionalFormatting sqref="AL12">
    <cfRule type="cellIs" dxfId="163" priority="175" operator="between">
      <formula>0.563</formula>
      <formula>0.7125</formula>
    </cfRule>
  </conditionalFormatting>
  <conditionalFormatting sqref="AM12">
    <cfRule type="cellIs" dxfId="162" priority="174" operator="between">
      <formula>0.713</formula>
      <formula>0.75</formula>
    </cfRule>
  </conditionalFormatting>
  <conditionalFormatting sqref="AN12">
    <cfRule type="cellIs" dxfId="161" priority="173" operator="greaterThan">
      <formula>0.755</formula>
    </cfRule>
  </conditionalFormatting>
  <conditionalFormatting sqref="AJ13:AJ16">
    <cfRule type="cellIs" dxfId="160" priority="172" stopIfTrue="1" operator="between">
      <formula>0</formula>
      <formula>0.375</formula>
    </cfRule>
  </conditionalFormatting>
  <conditionalFormatting sqref="AK13:AK16">
    <cfRule type="cellIs" dxfId="159" priority="171" operator="between">
      <formula>0.3751</formula>
      <formula>0.5625</formula>
    </cfRule>
  </conditionalFormatting>
  <conditionalFormatting sqref="AL13:AL16">
    <cfRule type="cellIs" dxfId="158" priority="170" operator="between">
      <formula>0.563</formula>
      <formula>0.7125</formula>
    </cfRule>
  </conditionalFormatting>
  <conditionalFormatting sqref="AM13:AM16">
    <cfRule type="cellIs" dxfId="157" priority="169" operator="between">
      <formula>0.713</formula>
      <formula>0.75</formula>
    </cfRule>
  </conditionalFormatting>
  <conditionalFormatting sqref="AN13:AN16">
    <cfRule type="cellIs" dxfId="156" priority="168" operator="greaterThan">
      <formula>0.755</formula>
    </cfRule>
  </conditionalFormatting>
  <conditionalFormatting sqref="AJ17">
    <cfRule type="cellIs" dxfId="155" priority="167" stopIfTrue="1" operator="between">
      <formula>0</formula>
      <formula>0.375</formula>
    </cfRule>
  </conditionalFormatting>
  <conditionalFormatting sqref="AK17">
    <cfRule type="cellIs" dxfId="154" priority="166" operator="between">
      <formula>0.3751</formula>
      <formula>0.5625</formula>
    </cfRule>
  </conditionalFormatting>
  <conditionalFormatting sqref="AL17">
    <cfRule type="cellIs" dxfId="153" priority="165" operator="between">
      <formula>0.563</formula>
      <formula>0.7125</formula>
    </cfRule>
  </conditionalFormatting>
  <conditionalFormatting sqref="AM17">
    <cfRule type="cellIs" dxfId="152" priority="164" operator="between">
      <formula>0.713</formula>
      <formula>0.75</formula>
    </cfRule>
  </conditionalFormatting>
  <conditionalFormatting sqref="AN17">
    <cfRule type="cellIs" dxfId="151" priority="163" operator="greaterThan">
      <formula>0.755</formula>
    </cfRule>
  </conditionalFormatting>
  <conditionalFormatting sqref="AJ18">
    <cfRule type="cellIs" dxfId="150" priority="162" stopIfTrue="1" operator="between">
      <formula>0</formula>
      <formula>0.375</formula>
    </cfRule>
  </conditionalFormatting>
  <conditionalFormatting sqref="AK18">
    <cfRule type="cellIs" dxfId="149" priority="161" operator="between">
      <formula>0.3751</formula>
      <formula>0.5625</formula>
    </cfRule>
  </conditionalFormatting>
  <conditionalFormatting sqref="AL18">
    <cfRule type="cellIs" dxfId="148" priority="160" operator="between">
      <formula>0.563</formula>
      <formula>0.7125</formula>
    </cfRule>
  </conditionalFormatting>
  <conditionalFormatting sqref="AM18">
    <cfRule type="cellIs" dxfId="147" priority="159" operator="between">
      <formula>0.713</formula>
      <formula>0.75</formula>
    </cfRule>
  </conditionalFormatting>
  <conditionalFormatting sqref="AN18">
    <cfRule type="cellIs" dxfId="146" priority="158" operator="greaterThan">
      <formula>0.755</formula>
    </cfRule>
  </conditionalFormatting>
  <conditionalFormatting sqref="AQ6">
    <cfRule type="cellIs" dxfId="145" priority="157" stopIfTrue="1" operator="between">
      <formula>0</formula>
      <formula>0.5</formula>
    </cfRule>
  </conditionalFormatting>
  <conditionalFormatting sqref="AR6">
    <cfRule type="cellIs" dxfId="144" priority="156" operator="between">
      <formula>0.51</formula>
      <formula>0.75</formula>
    </cfRule>
  </conditionalFormatting>
  <conditionalFormatting sqref="AS6">
    <cfRule type="cellIs" dxfId="143" priority="155" operator="between">
      <formula>0.76</formula>
      <formula>0.95</formula>
    </cfRule>
  </conditionalFormatting>
  <conditionalFormatting sqref="AT6">
    <cfRule type="cellIs" dxfId="142" priority="154" operator="between">
      <formula>0.95</formula>
      <formula>1</formula>
    </cfRule>
  </conditionalFormatting>
  <conditionalFormatting sqref="AU6">
    <cfRule type="cellIs" dxfId="141" priority="153" operator="greaterThan">
      <formula>1</formula>
    </cfRule>
  </conditionalFormatting>
  <conditionalFormatting sqref="AQ7">
    <cfRule type="cellIs" dxfId="140" priority="152" stopIfTrue="1" operator="between">
      <formula>0</formula>
      <formula>0.5</formula>
    </cfRule>
  </conditionalFormatting>
  <conditionalFormatting sqref="AR7">
    <cfRule type="cellIs" dxfId="139" priority="151" operator="between">
      <formula>0.51</formula>
      <formula>0.75</formula>
    </cfRule>
  </conditionalFormatting>
  <conditionalFormatting sqref="AS7">
    <cfRule type="cellIs" dxfId="138" priority="150" operator="between">
      <formula>0.76</formula>
      <formula>0.95</formula>
    </cfRule>
  </conditionalFormatting>
  <conditionalFormatting sqref="AT7">
    <cfRule type="cellIs" dxfId="137" priority="149" operator="between">
      <formula>0.95</formula>
      <formula>1</formula>
    </cfRule>
  </conditionalFormatting>
  <conditionalFormatting sqref="AU7">
    <cfRule type="cellIs" dxfId="136" priority="148" operator="greaterThan">
      <formula>1</formula>
    </cfRule>
  </conditionalFormatting>
  <conditionalFormatting sqref="AQ8">
    <cfRule type="cellIs" dxfId="135" priority="147" stopIfTrue="1" operator="between">
      <formula>0</formula>
      <formula>0.5</formula>
    </cfRule>
  </conditionalFormatting>
  <conditionalFormatting sqref="AR8">
    <cfRule type="cellIs" dxfId="134" priority="146" operator="between">
      <formula>0.51</formula>
      <formula>0.75</formula>
    </cfRule>
  </conditionalFormatting>
  <conditionalFormatting sqref="AS8">
    <cfRule type="cellIs" dxfId="133" priority="145" operator="between">
      <formula>0.76</formula>
      <formula>0.95</formula>
    </cfRule>
  </conditionalFormatting>
  <conditionalFormatting sqref="AT8">
    <cfRule type="cellIs" dxfId="132" priority="144" operator="between">
      <formula>0.95</formula>
      <formula>1</formula>
    </cfRule>
  </conditionalFormatting>
  <conditionalFormatting sqref="AU8">
    <cfRule type="cellIs" dxfId="131" priority="143" operator="greaterThan">
      <formula>1</formula>
    </cfRule>
  </conditionalFormatting>
  <conditionalFormatting sqref="AQ9:AQ10">
    <cfRule type="cellIs" dxfId="130" priority="142" stopIfTrue="1" operator="between">
      <formula>0</formula>
      <formula>0.5</formula>
    </cfRule>
  </conditionalFormatting>
  <conditionalFormatting sqref="AR9:AR10">
    <cfRule type="cellIs" dxfId="129" priority="141" operator="between">
      <formula>0.51</formula>
      <formula>0.75</formula>
    </cfRule>
  </conditionalFormatting>
  <conditionalFormatting sqref="AS9:AS10">
    <cfRule type="cellIs" dxfId="128" priority="140" operator="between">
      <formula>0.76</formula>
      <formula>0.95</formula>
    </cfRule>
  </conditionalFormatting>
  <conditionalFormatting sqref="AT9:AT10">
    <cfRule type="cellIs" dxfId="127" priority="139" operator="between">
      <formula>0.95</formula>
      <formula>1</formula>
    </cfRule>
  </conditionalFormatting>
  <conditionalFormatting sqref="AU9:AU10">
    <cfRule type="cellIs" dxfId="126" priority="138" operator="greaterThan">
      <formula>1</formula>
    </cfRule>
  </conditionalFormatting>
  <conditionalFormatting sqref="AQ11">
    <cfRule type="cellIs" dxfId="125" priority="137" stopIfTrue="1" operator="between">
      <formula>0</formula>
      <formula>0.5</formula>
    </cfRule>
  </conditionalFormatting>
  <conditionalFormatting sqref="AR11">
    <cfRule type="cellIs" dxfId="124" priority="136" operator="between">
      <formula>0.51</formula>
      <formula>0.75</formula>
    </cfRule>
  </conditionalFormatting>
  <conditionalFormatting sqref="AS11">
    <cfRule type="cellIs" dxfId="123" priority="135" operator="between">
      <formula>0.76</formula>
      <formula>0.95</formula>
    </cfRule>
  </conditionalFormatting>
  <conditionalFormatting sqref="AT11">
    <cfRule type="cellIs" dxfId="122" priority="134" operator="between">
      <formula>0.95</formula>
      <formula>1</formula>
    </cfRule>
  </conditionalFormatting>
  <conditionalFormatting sqref="AU11">
    <cfRule type="cellIs" dxfId="121" priority="133" operator="greaterThan">
      <formula>1</formula>
    </cfRule>
  </conditionalFormatting>
  <conditionalFormatting sqref="AQ12">
    <cfRule type="cellIs" dxfId="120" priority="132" stopIfTrue="1" operator="between">
      <formula>0</formula>
      <formula>0.5</formula>
    </cfRule>
  </conditionalFormatting>
  <conditionalFormatting sqref="AR12">
    <cfRule type="cellIs" dxfId="119" priority="131" operator="between">
      <formula>0.51</formula>
      <formula>0.75</formula>
    </cfRule>
  </conditionalFormatting>
  <conditionalFormatting sqref="AS12">
    <cfRule type="cellIs" dxfId="118" priority="130" operator="between">
      <formula>0.76</formula>
      <formula>0.95</formula>
    </cfRule>
  </conditionalFormatting>
  <conditionalFormatting sqref="AT12">
    <cfRule type="cellIs" dxfId="117" priority="129" operator="between">
      <formula>0.95</formula>
      <formula>1</formula>
    </cfRule>
  </conditionalFormatting>
  <conditionalFormatting sqref="AU12">
    <cfRule type="cellIs" dxfId="116" priority="128" operator="greaterThan">
      <formula>1</formula>
    </cfRule>
  </conditionalFormatting>
  <conditionalFormatting sqref="AQ13:AQ16">
    <cfRule type="cellIs" dxfId="115" priority="127" stopIfTrue="1" operator="between">
      <formula>0</formula>
      <formula>0.5</formula>
    </cfRule>
  </conditionalFormatting>
  <conditionalFormatting sqref="AR13:AR16">
    <cfRule type="cellIs" dxfId="114" priority="126" operator="between">
      <formula>0.51</formula>
      <formula>0.75</formula>
    </cfRule>
  </conditionalFormatting>
  <conditionalFormatting sqref="AS13:AS16">
    <cfRule type="cellIs" dxfId="113" priority="125" operator="between">
      <formula>0.76</formula>
      <formula>0.95</formula>
    </cfRule>
  </conditionalFormatting>
  <conditionalFormatting sqref="AT13:AT16">
    <cfRule type="cellIs" dxfId="112" priority="124" operator="between">
      <formula>0.95</formula>
      <formula>1</formula>
    </cfRule>
  </conditionalFormatting>
  <conditionalFormatting sqref="AU13:AU16">
    <cfRule type="cellIs" dxfId="111" priority="123" operator="greaterThan">
      <formula>1</formula>
    </cfRule>
  </conditionalFormatting>
  <conditionalFormatting sqref="AQ17">
    <cfRule type="cellIs" dxfId="110" priority="122" stopIfTrue="1" operator="between">
      <formula>0</formula>
      <formula>0.5</formula>
    </cfRule>
  </conditionalFormatting>
  <conditionalFormatting sqref="AR17">
    <cfRule type="cellIs" dxfId="109" priority="121" operator="between">
      <formula>0.51</formula>
      <formula>0.75</formula>
    </cfRule>
  </conditionalFormatting>
  <conditionalFormatting sqref="AS17">
    <cfRule type="cellIs" dxfId="108" priority="120" operator="between">
      <formula>0.76</formula>
      <formula>0.95</formula>
    </cfRule>
  </conditionalFormatting>
  <conditionalFormatting sqref="AT17">
    <cfRule type="cellIs" dxfId="107" priority="119" operator="between">
      <formula>0.95</formula>
      <formula>1</formula>
    </cfRule>
  </conditionalFormatting>
  <conditionalFormatting sqref="AU17">
    <cfRule type="cellIs" dxfId="106" priority="118" operator="greaterThan">
      <formula>1</formula>
    </cfRule>
  </conditionalFormatting>
  <conditionalFormatting sqref="AQ18">
    <cfRule type="cellIs" dxfId="105" priority="117" stopIfTrue="1" operator="between">
      <formula>0</formula>
      <formula>0.5</formula>
    </cfRule>
  </conditionalFormatting>
  <conditionalFormatting sqref="AR18">
    <cfRule type="cellIs" dxfId="104" priority="116" operator="between">
      <formula>0.51</formula>
      <formula>0.75</formula>
    </cfRule>
  </conditionalFormatting>
  <conditionalFormatting sqref="AS18">
    <cfRule type="cellIs" dxfId="103" priority="115" operator="between">
      <formula>0.76</formula>
      <formula>0.95</formula>
    </cfRule>
  </conditionalFormatting>
  <conditionalFormatting sqref="AT18">
    <cfRule type="cellIs" dxfId="102" priority="114" operator="between">
      <formula>0.95</formula>
      <formula>1</formula>
    </cfRule>
  </conditionalFormatting>
  <conditionalFormatting sqref="AU18">
    <cfRule type="cellIs" dxfId="101" priority="113" operator="greaterThan">
      <formula>1</formula>
    </cfRule>
  </conditionalFormatting>
  <conditionalFormatting sqref="AX6">
    <cfRule type="cellIs" dxfId="100" priority="112" operator="between">
      <formula>0.501</formula>
      <formula>0.75</formula>
    </cfRule>
  </conditionalFormatting>
  <conditionalFormatting sqref="AY6">
    <cfRule type="cellIs" dxfId="99" priority="111" operator="between">
      <formula>0.76</formula>
      <formula>0.95</formula>
    </cfRule>
  </conditionalFormatting>
  <conditionalFormatting sqref="AZ6">
    <cfRule type="cellIs" dxfId="98" priority="110" operator="between">
      <formula>0.95</formula>
      <formula>1</formula>
    </cfRule>
  </conditionalFormatting>
  <conditionalFormatting sqref="BA6">
    <cfRule type="cellIs" dxfId="97" priority="109" operator="greaterThan">
      <formula>1</formula>
    </cfRule>
  </conditionalFormatting>
  <conditionalFormatting sqref="AW6">
    <cfRule type="cellIs" dxfId="96" priority="108" stopIfTrue="1" operator="between">
      <formula>0</formula>
      <formula>0.5</formula>
    </cfRule>
  </conditionalFormatting>
  <conditionalFormatting sqref="AX7">
    <cfRule type="cellIs" dxfId="95" priority="107" operator="between">
      <formula>0.501</formula>
      <formula>0.75</formula>
    </cfRule>
  </conditionalFormatting>
  <conditionalFormatting sqref="AY7">
    <cfRule type="cellIs" dxfId="94" priority="106" operator="between">
      <formula>0.76</formula>
      <formula>0.95</formula>
    </cfRule>
  </conditionalFormatting>
  <conditionalFormatting sqref="AZ7">
    <cfRule type="cellIs" dxfId="93" priority="105" operator="between">
      <formula>0.95</formula>
      <formula>1</formula>
    </cfRule>
  </conditionalFormatting>
  <conditionalFormatting sqref="BA7">
    <cfRule type="cellIs" dxfId="92" priority="104" operator="greaterThan">
      <formula>1</formula>
    </cfRule>
  </conditionalFormatting>
  <conditionalFormatting sqref="AW7">
    <cfRule type="cellIs" dxfId="91" priority="103" stopIfTrue="1" operator="between">
      <formula>0</formula>
      <formula>0.5</formula>
    </cfRule>
  </conditionalFormatting>
  <conditionalFormatting sqref="AX8">
    <cfRule type="cellIs" dxfId="90" priority="102" operator="between">
      <formula>0.501</formula>
      <formula>0.75</formula>
    </cfRule>
  </conditionalFormatting>
  <conditionalFormatting sqref="AY8">
    <cfRule type="cellIs" dxfId="89" priority="101" operator="between">
      <formula>0.76</formula>
      <formula>0.95</formula>
    </cfRule>
  </conditionalFormatting>
  <conditionalFormatting sqref="AZ8">
    <cfRule type="cellIs" dxfId="88" priority="100" operator="between">
      <formula>0.95</formula>
      <formula>1</formula>
    </cfRule>
  </conditionalFormatting>
  <conditionalFormatting sqref="BA8">
    <cfRule type="cellIs" dxfId="87" priority="99" operator="greaterThan">
      <formula>1</formula>
    </cfRule>
  </conditionalFormatting>
  <conditionalFormatting sqref="AW8">
    <cfRule type="cellIs" dxfId="86" priority="98" stopIfTrue="1" operator="between">
      <formula>0</formula>
      <formula>0.5</formula>
    </cfRule>
  </conditionalFormatting>
  <conditionalFormatting sqref="AX9:AX10">
    <cfRule type="cellIs" dxfId="85" priority="97" operator="between">
      <formula>0.501</formula>
      <formula>0.75</formula>
    </cfRule>
  </conditionalFormatting>
  <conditionalFormatting sqref="AY9:AY10">
    <cfRule type="cellIs" dxfId="84" priority="96" operator="between">
      <formula>0.76</formula>
      <formula>0.95</formula>
    </cfRule>
  </conditionalFormatting>
  <conditionalFormatting sqref="AZ9:AZ10">
    <cfRule type="cellIs" dxfId="83" priority="95" operator="between">
      <formula>0.95</formula>
      <formula>1</formula>
    </cfRule>
  </conditionalFormatting>
  <conditionalFormatting sqref="BA9:BA10">
    <cfRule type="cellIs" dxfId="82" priority="94" operator="greaterThan">
      <formula>1</formula>
    </cfRule>
  </conditionalFormatting>
  <conditionalFormatting sqref="AW9:AW10">
    <cfRule type="cellIs" dxfId="81" priority="93" stopIfTrue="1" operator="between">
      <formula>0</formula>
      <formula>0.5</formula>
    </cfRule>
  </conditionalFormatting>
  <conditionalFormatting sqref="AX11">
    <cfRule type="cellIs" dxfId="80" priority="92" operator="between">
      <formula>0.501</formula>
      <formula>0.75</formula>
    </cfRule>
  </conditionalFormatting>
  <conditionalFormatting sqref="AY11">
    <cfRule type="cellIs" dxfId="79" priority="91" operator="between">
      <formula>0.76</formula>
      <formula>0.95</formula>
    </cfRule>
  </conditionalFormatting>
  <conditionalFormatting sqref="AZ11">
    <cfRule type="cellIs" dxfId="78" priority="90" operator="between">
      <formula>0.95</formula>
      <formula>1</formula>
    </cfRule>
  </conditionalFormatting>
  <conditionalFormatting sqref="BA11">
    <cfRule type="cellIs" dxfId="77" priority="89" operator="greaterThan">
      <formula>1</formula>
    </cfRule>
  </conditionalFormatting>
  <conditionalFormatting sqref="AW11">
    <cfRule type="cellIs" dxfId="76" priority="88" stopIfTrue="1" operator="between">
      <formula>0</formula>
      <formula>0.5</formula>
    </cfRule>
  </conditionalFormatting>
  <conditionalFormatting sqref="AX12">
    <cfRule type="cellIs" dxfId="75" priority="87" operator="between">
      <formula>0.501</formula>
      <formula>0.75</formula>
    </cfRule>
  </conditionalFormatting>
  <conditionalFormatting sqref="AY12">
    <cfRule type="cellIs" dxfId="74" priority="86" operator="between">
      <formula>0.76</formula>
      <formula>0.95</formula>
    </cfRule>
  </conditionalFormatting>
  <conditionalFormatting sqref="AZ12">
    <cfRule type="cellIs" dxfId="73" priority="85" operator="between">
      <formula>0.95</formula>
      <formula>1</formula>
    </cfRule>
  </conditionalFormatting>
  <conditionalFormatting sqref="BA12">
    <cfRule type="cellIs" dxfId="72" priority="84" operator="greaterThan">
      <formula>1</formula>
    </cfRule>
  </conditionalFormatting>
  <conditionalFormatting sqref="AW12">
    <cfRule type="cellIs" dxfId="71" priority="83" stopIfTrue="1" operator="between">
      <formula>0</formula>
      <formula>0.5</formula>
    </cfRule>
  </conditionalFormatting>
  <conditionalFormatting sqref="AX13:AX16">
    <cfRule type="cellIs" dxfId="70" priority="82" operator="between">
      <formula>0.501</formula>
      <formula>0.75</formula>
    </cfRule>
  </conditionalFormatting>
  <conditionalFormatting sqref="AY13:AY16">
    <cfRule type="cellIs" dxfId="69" priority="81" operator="between">
      <formula>0.76</formula>
      <formula>0.95</formula>
    </cfRule>
  </conditionalFormatting>
  <conditionalFormatting sqref="AZ13:AZ16">
    <cfRule type="cellIs" dxfId="68" priority="80" operator="between">
      <formula>0.95</formula>
      <formula>1</formula>
    </cfRule>
  </conditionalFormatting>
  <conditionalFormatting sqref="BA13:BA16">
    <cfRule type="cellIs" dxfId="67" priority="79" operator="greaterThan">
      <formula>1</formula>
    </cfRule>
  </conditionalFormatting>
  <conditionalFormatting sqref="AW13:AW16">
    <cfRule type="cellIs" dxfId="66" priority="78" stopIfTrue="1" operator="between">
      <formula>0</formula>
      <formula>0.5</formula>
    </cfRule>
  </conditionalFormatting>
  <conditionalFormatting sqref="AX17">
    <cfRule type="cellIs" dxfId="65" priority="77" operator="between">
      <formula>0.501</formula>
      <formula>0.75</formula>
    </cfRule>
  </conditionalFormatting>
  <conditionalFormatting sqref="AY17">
    <cfRule type="cellIs" dxfId="64" priority="76" operator="between">
      <formula>0.76</formula>
      <formula>0.95</formula>
    </cfRule>
  </conditionalFormatting>
  <conditionalFormatting sqref="AZ17">
    <cfRule type="cellIs" dxfId="63" priority="75" operator="between">
      <formula>0.95</formula>
      <formula>1</formula>
    </cfRule>
  </conditionalFormatting>
  <conditionalFormatting sqref="BA17">
    <cfRule type="cellIs" dxfId="62" priority="74" operator="greaterThan">
      <formula>1</formula>
    </cfRule>
  </conditionalFormatting>
  <conditionalFormatting sqref="AW17">
    <cfRule type="cellIs" dxfId="61" priority="73" stopIfTrue="1" operator="between">
      <formula>0</formula>
      <formula>0.5</formula>
    </cfRule>
  </conditionalFormatting>
  <conditionalFormatting sqref="AX18">
    <cfRule type="cellIs" dxfId="60" priority="72" operator="between">
      <formula>0.501</formula>
      <formula>0.75</formula>
    </cfRule>
  </conditionalFormatting>
  <conditionalFormatting sqref="AY18">
    <cfRule type="cellIs" dxfId="59" priority="71" operator="between">
      <formula>0.76</formula>
      <formula>0.95</formula>
    </cfRule>
  </conditionalFormatting>
  <conditionalFormatting sqref="AZ18">
    <cfRule type="cellIs" dxfId="58" priority="70" operator="between">
      <formula>0.95</formula>
      <formula>1</formula>
    </cfRule>
  </conditionalFormatting>
  <conditionalFormatting sqref="BA18">
    <cfRule type="cellIs" dxfId="57" priority="69" operator="greaterThan">
      <formula>1</formula>
    </cfRule>
  </conditionalFormatting>
  <conditionalFormatting sqref="AW18">
    <cfRule type="cellIs" dxfId="56" priority="68" stopIfTrue="1" operator="between">
      <formula>0</formula>
      <formula>0.5</formula>
    </cfRule>
  </conditionalFormatting>
  <conditionalFormatting sqref="W6">
    <cfRule type="cellIs" dxfId="55" priority="67" stopIfTrue="1" operator="between">
      <formula>0</formula>
      <formula>0.255</formula>
    </cfRule>
  </conditionalFormatting>
  <conditionalFormatting sqref="X6">
    <cfRule type="cellIs" dxfId="54" priority="66" operator="between">
      <formula>0.2551</formula>
      <formula>0.375</formula>
    </cfRule>
  </conditionalFormatting>
  <conditionalFormatting sqref="Y6">
    <cfRule type="cellIs" dxfId="53" priority="65" operator="between">
      <formula>0.3751</formula>
      <formula>0.475</formula>
    </cfRule>
  </conditionalFormatting>
  <conditionalFormatting sqref="Z6">
    <cfRule type="cellIs" dxfId="52" priority="64" operator="between">
      <formula>0.4751</formula>
      <formula>0.51</formula>
    </cfRule>
  </conditionalFormatting>
  <conditionalFormatting sqref="AA6">
    <cfRule type="cellIs" dxfId="51" priority="63" operator="greaterThan">
      <formula>0.505</formula>
    </cfRule>
  </conditionalFormatting>
  <conditionalFormatting sqref="AB8">
    <cfRule type="cellIs" dxfId="50" priority="62" operator="greaterThan">
      <formula>0.505</formula>
    </cfRule>
  </conditionalFormatting>
  <conditionalFormatting sqref="W8">
    <cfRule type="cellIs" dxfId="49" priority="61" stopIfTrue="1" operator="between">
      <formula>0</formula>
      <formula>0.255</formula>
    </cfRule>
  </conditionalFormatting>
  <conditionalFormatting sqref="X8">
    <cfRule type="cellIs" dxfId="48" priority="60" operator="between">
      <formula>0.2551</formula>
      <formula>0.375</formula>
    </cfRule>
  </conditionalFormatting>
  <conditionalFormatting sqref="Y8">
    <cfRule type="cellIs" dxfId="47" priority="59" operator="between">
      <formula>0.3751</formula>
      <formula>0.475</formula>
    </cfRule>
  </conditionalFormatting>
  <conditionalFormatting sqref="Z8">
    <cfRule type="cellIs" dxfId="46" priority="58" operator="between">
      <formula>0.48</formula>
      <formula>0.51</formula>
    </cfRule>
  </conditionalFormatting>
  <conditionalFormatting sqref="D6">
    <cfRule type="cellIs" dxfId="45" priority="46" stopIfTrue="1" operator="between">
      <formula>0</formula>
      <formula>0.5</formula>
    </cfRule>
  </conditionalFormatting>
  <conditionalFormatting sqref="E6">
    <cfRule type="cellIs" dxfId="44" priority="45" operator="between">
      <formula>0.51</formula>
      <formula>0.75</formula>
    </cfRule>
  </conditionalFormatting>
  <conditionalFormatting sqref="F6">
    <cfRule type="cellIs" dxfId="43" priority="44" operator="between">
      <formula>0.76</formula>
      <formula>0.95</formula>
    </cfRule>
  </conditionalFormatting>
  <conditionalFormatting sqref="G6">
    <cfRule type="cellIs" dxfId="42" priority="43" operator="between">
      <formula>0.96</formula>
      <formula>1</formula>
    </cfRule>
  </conditionalFormatting>
  <conditionalFormatting sqref="H6">
    <cfRule type="cellIs" dxfId="41" priority="42" operator="greaterThan">
      <formula>1</formula>
    </cfRule>
  </conditionalFormatting>
  <conditionalFormatting sqref="D7">
    <cfRule type="cellIs" dxfId="40" priority="41" stopIfTrue="1" operator="between">
      <formula>0</formula>
      <formula>0.5</formula>
    </cfRule>
  </conditionalFormatting>
  <conditionalFormatting sqref="E7">
    <cfRule type="cellIs" dxfId="39" priority="40" operator="between">
      <formula>0.51</formula>
      <formula>0.75</formula>
    </cfRule>
  </conditionalFormatting>
  <conditionalFormatting sqref="F7">
    <cfRule type="cellIs" dxfId="38" priority="39" operator="between">
      <formula>0.76</formula>
      <formula>0.95</formula>
    </cfRule>
  </conditionalFormatting>
  <conditionalFormatting sqref="G7">
    <cfRule type="cellIs" dxfId="37" priority="38" operator="between">
      <formula>0.96</formula>
      <formula>1</formula>
    </cfRule>
  </conditionalFormatting>
  <conditionalFormatting sqref="H7">
    <cfRule type="cellIs" dxfId="36" priority="37" operator="greaterThan">
      <formula>1</formula>
    </cfRule>
  </conditionalFormatting>
  <conditionalFormatting sqref="D8:D18">
    <cfRule type="cellIs" dxfId="35" priority="36" stopIfTrue="1" operator="between">
      <formula>0</formula>
      <formula>0.5</formula>
    </cfRule>
  </conditionalFormatting>
  <conditionalFormatting sqref="E8:E18">
    <cfRule type="cellIs" dxfId="34" priority="35" operator="between">
      <formula>0.51</formula>
      <formula>0.75</formula>
    </cfRule>
  </conditionalFormatting>
  <conditionalFormatting sqref="F8:F18">
    <cfRule type="cellIs" dxfId="33" priority="34" operator="between">
      <formula>0.76</formula>
      <formula>0.95</formula>
    </cfRule>
  </conditionalFormatting>
  <conditionalFormatting sqref="G8:G18">
    <cfRule type="cellIs" dxfId="32" priority="33" operator="between">
      <formula>0.96</formula>
      <formula>1</formula>
    </cfRule>
  </conditionalFormatting>
  <conditionalFormatting sqref="H8:H18">
    <cfRule type="cellIs" dxfId="31" priority="32" operator="greaterThan">
      <formula>1</formula>
    </cfRule>
  </conditionalFormatting>
  <conditionalFormatting sqref="J6">
    <cfRule type="cellIs" dxfId="30" priority="31" stopIfTrue="1" operator="between">
      <formula>0</formula>
      <formula>0.125</formula>
    </cfRule>
  </conditionalFormatting>
  <conditionalFormatting sqref="K6">
    <cfRule type="cellIs" dxfId="29" priority="30" operator="between">
      <formula>0.1251</formula>
      <formula>0.1875</formula>
    </cfRule>
  </conditionalFormatting>
  <conditionalFormatting sqref="L6">
    <cfRule type="cellIs" dxfId="28" priority="29" operator="between">
      <formula>0.1876</formula>
      <formula>0.2375</formula>
    </cfRule>
  </conditionalFormatting>
  <conditionalFormatting sqref="M6">
    <cfRule type="cellIs" dxfId="27" priority="28" operator="between">
      <formula>0.2376</formula>
      <formula>0.25</formula>
    </cfRule>
  </conditionalFormatting>
  <conditionalFormatting sqref="N6">
    <cfRule type="cellIs" dxfId="26" priority="27" operator="greaterThan">
      <formula>0.25</formula>
    </cfRule>
  </conditionalFormatting>
  <conditionalFormatting sqref="J7">
    <cfRule type="cellIs" dxfId="25" priority="26" stopIfTrue="1" operator="between">
      <formula>0</formula>
      <formula>0.125</formula>
    </cfRule>
  </conditionalFormatting>
  <conditionalFormatting sqref="K7">
    <cfRule type="cellIs" dxfId="24" priority="25" operator="between">
      <formula>0.1251</formula>
      <formula>0.1875</formula>
    </cfRule>
  </conditionalFormatting>
  <conditionalFormatting sqref="L7">
    <cfRule type="cellIs" dxfId="23" priority="24" operator="between">
      <formula>0.1876</formula>
      <formula>0.2375</formula>
    </cfRule>
  </conditionalFormatting>
  <conditionalFormatting sqref="M7">
    <cfRule type="cellIs" dxfId="22" priority="23" operator="between">
      <formula>0.2376</formula>
      <formula>0.25</formula>
    </cfRule>
  </conditionalFormatting>
  <conditionalFormatting sqref="N7">
    <cfRule type="cellIs" dxfId="21" priority="22" operator="greaterThan">
      <formula>0.25</formula>
    </cfRule>
  </conditionalFormatting>
  <conditionalFormatting sqref="J8:J18">
    <cfRule type="cellIs" dxfId="20" priority="21" stopIfTrue="1" operator="between">
      <formula>0</formula>
      <formula>0.125</formula>
    </cfRule>
  </conditionalFormatting>
  <conditionalFormatting sqref="K8:K18">
    <cfRule type="cellIs" dxfId="19" priority="20" operator="between">
      <formula>0.1251</formula>
      <formula>0.1875</formula>
    </cfRule>
  </conditionalFormatting>
  <conditionalFormatting sqref="L8:L18">
    <cfRule type="cellIs" dxfId="18" priority="19" operator="between">
      <formula>0.1876</formula>
      <formula>0.2375</formula>
    </cfRule>
  </conditionalFormatting>
  <conditionalFormatting sqref="M8:M18">
    <cfRule type="cellIs" dxfId="17" priority="18" operator="between">
      <formula>0.2376</formula>
      <formula>0.25</formula>
    </cfRule>
  </conditionalFormatting>
  <conditionalFormatting sqref="N8:N18">
    <cfRule type="cellIs" dxfId="16" priority="17" operator="greaterThan">
      <formula>0.25</formula>
    </cfRule>
  </conditionalFormatting>
  <conditionalFormatting sqref="AA8">
    <cfRule type="cellIs" dxfId="15" priority="16" operator="greaterThan">
      <formula>0.505</formula>
    </cfRule>
  </conditionalFormatting>
  <conditionalFormatting sqref="Q14">
    <cfRule type="cellIs" dxfId="14" priority="15" stopIfTrue="1" operator="between">
      <formula>0</formula>
      <formula>0.5</formula>
    </cfRule>
  </conditionalFormatting>
  <conditionalFormatting sqref="R14">
    <cfRule type="cellIs" dxfId="13" priority="14" operator="between">
      <formula>0.51</formula>
      <formula>0.75</formula>
    </cfRule>
  </conditionalFormatting>
  <conditionalFormatting sqref="S14">
    <cfRule type="cellIs" dxfId="12" priority="13" operator="between">
      <formula>0.7501</formula>
      <formula>0.95</formula>
    </cfRule>
  </conditionalFormatting>
  <conditionalFormatting sqref="T14">
    <cfRule type="cellIs" dxfId="11" priority="12" operator="between">
      <formula>0.95</formula>
      <formula>1</formula>
    </cfRule>
  </conditionalFormatting>
  <conditionalFormatting sqref="U14">
    <cfRule type="cellIs" dxfId="10" priority="11" operator="greaterThan">
      <formula>1</formula>
    </cfRule>
  </conditionalFormatting>
  <conditionalFormatting sqref="Q15:Q17">
    <cfRule type="cellIs" dxfId="9" priority="10" stopIfTrue="1" operator="between">
      <formula>0</formula>
      <formula>0.5</formula>
    </cfRule>
  </conditionalFormatting>
  <conditionalFormatting sqref="R15:R17">
    <cfRule type="cellIs" dxfId="8" priority="9" operator="between">
      <formula>0.51</formula>
      <formula>0.75</formula>
    </cfRule>
  </conditionalFormatting>
  <conditionalFormatting sqref="S15:S17">
    <cfRule type="cellIs" dxfId="7" priority="8" operator="between">
      <formula>0.76</formula>
      <formula>0.95</formula>
    </cfRule>
  </conditionalFormatting>
  <conditionalFormatting sqref="T15:T17">
    <cfRule type="cellIs" dxfId="6" priority="7" operator="between">
      <formula>0.95</formula>
      <formula>1</formula>
    </cfRule>
  </conditionalFormatting>
  <conditionalFormatting sqref="U15:U17">
    <cfRule type="cellIs" dxfId="5" priority="6" operator="greaterThan">
      <formula>1</formula>
    </cfRule>
  </conditionalFormatting>
  <conditionalFormatting sqref="W10:W17">
    <cfRule type="cellIs" dxfId="4" priority="5" stopIfTrue="1" operator="between">
      <formula>0</formula>
      <formula>0.255</formula>
    </cfRule>
  </conditionalFormatting>
  <conditionalFormatting sqref="X10:X17">
    <cfRule type="cellIs" dxfId="3" priority="4" operator="between">
      <formula>0.2551</formula>
      <formula>0.375</formula>
    </cfRule>
  </conditionalFormatting>
  <conditionalFormatting sqref="Y10:Y17">
    <cfRule type="cellIs" dxfId="2" priority="3" operator="between">
      <formula>0.38</formula>
      <formula>0.475</formula>
    </cfRule>
  </conditionalFormatting>
  <conditionalFormatting sqref="Z10:Z17">
    <cfRule type="cellIs" dxfId="1" priority="2" operator="between">
      <formula>0.48</formula>
      <formula>0.51</formula>
    </cfRule>
  </conditionalFormatting>
  <conditionalFormatting sqref="AA10:AA17">
    <cfRule type="cellIs" dxfId="0"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showGridLines="0" topLeftCell="A9" workbookViewId="0">
      <selection activeCell="B9" sqref="B9:L9"/>
    </sheetView>
  </sheetViews>
  <sheetFormatPr baseColWidth="10" defaultRowHeight="15" x14ac:dyDescent="0.25"/>
  <sheetData>
    <row r="1" spans="1:12" x14ac:dyDescent="0.25">
      <c r="A1" s="1163"/>
      <c r="B1" s="1164"/>
      <c r="C1" s="1169" t="s">
        <v>246</v>
      </c>
      <c r="D1" s="1170"/>
      <c r="E1" s="1187" t="s">
        <v>247</v>
      </c>
      <c r="F1" s="1188"/>
      <c r="G1" s="1188"/>
      <c r="H1" s="1189"/>
      <c r="I1" s="1175"/>
      <c r="J1" s="1176"/>
      <c r="K1" s="1176"/>
      <c r="L1" s="1177"/>
    </row>
    <row r="2" spans="1:12" x14ac:dyDescent="0.25">
      <c r="A2" s="1165"/>
      <c r="B2" s="1166"/>
      <c r="C2" s="1171" t="s">
        <v>248</v>
      </c>
      <c r="D2" s="1172"/>
      <c r="E2" s="1184" t="s">
        <v>250</v>
      </c>
      <c r="F2" s="1185"/>
      <c r="G2" s="1185"/>
      <c r="H2" s="1186"/>
      <c r="I2" s="1178"/>
      <c r="J2" s="1179"/>
      <c r="K2" s="1179"/>
      <c r="L2" s="1180"/>
    </row>
    <row r="3" spans="1:12" ht="15.75" thickBot="1" x14ac:dyDescent="0.3">
      <c r="A3" s="1167"/>
      <c r="B3" s="1168"/>
      <c r="C3" s="1173" t="s">
        <v>242</v>
      </c>
      <c r="D3" s="1174"/>
      <c r="E3" s="1190" t="s">
        <v>254</v>
      </c>
      <c r="F3" s="1191"/>
      <c r="G3" s="21" t="s">
        <v>249</v>
      </c>
      <c r="H3" s="20">
        <v>2</v>
      </c>
      <c r="I3" s="1181"/>
      <c r="J3" s="1182"/>
      <c r="K3" s="1182"/>
      <c r="L3" s="1183"/>
    </row>
    <row r="5" spans="1:12" x14ac:dyDescent="0.25">
      <c r="A5" s="154" t="s">
        <v>1424</v>
      </c>
    </row>
    <row r="6" spans="1:12" x14ac:dyDescent="0.25">
      <c r="A6" s="22"/>
    </row>
    <row r="7" spans="1:12" x14ac:dyDescent="0.25">
      <c r="A7" s="468" t="s">
        <v>1425</v>
      </c>
      <c r="B7" s="1398" t="s">
        <v>1426</v>
      </c>
      <c r="C7" s="1398"/>
      <c r="D7" s="1398"/>
      <c r="E7" s="1398"/>
      <c r="F7" s="1398"/>
      <c r="G7" s="1398"/>
      <c r="H7" s="1398"/>
      <c r="I7" s="1398"/>
      <c r="J7" s="1398"/>
      <c r="K7" s="1398"/>
      <c r="L7" s="1398"/>
    </row>
    <row r="8" spans="1:12" ht="409.5" customHeight="1" x14ac:dyDescent="0.25">
      <c r="A8" s="567" t="s">
        <v>267</v>
      </c>
      <c r="B8" s="1397" t="s">
        <v>1431</v>
      </c>
      <c r="C8" s="1397"/>
      <c r="D8" s="1397"/>
      <c r="E8" s="1397"/>
      <c r="F8" s="1397"/>
      <c r="G8" s="1397"/>
      <c r="H8" s="1397"/>
      <c r="I8" s="1397"/>
      <c r="J8" s="1397"/>
      <c r="K8" s="1397"/>
      <c r="L8" s="1397"/>
    </row>
    <row r="9" spans="1:12" ht="409.5" customHeight="1" x14ac:dyDescent="0.25">
      <c r="A9" s="945" t="s">
        <v>1427</v>
      </c>
      <c r="B9" s="1399" t="s">
        <v>1791</v>
      </c>
      <c r="C9" s="1400"/>
      <c r="D9" s="1400"/>
      <c r="E9" s="1400"/>
      <c r="F9" s="1400"/>
      <c r="G9" s="1400"/>
      <c r="H9" s="1400"/>
      <c r="I9" s="1400"/>
      <c r="J9" s="1400"/>
      <c r="K9" s="1400"/>
      <c r="L9" s="1401"/>
    </row>
    <row r="10" spans="1:12" x14ac:dyDescent="0.25">
      <c r="A10" s="569" t="s">
        <v>1428</v>
      </c>
      <c r="B10" s="1402"/>
      <c r="C10" s="1403"/>
      <c r="D10" s="1403"/>
      <c r="E10" s="1403"/>
      <c r="F10" s="1403"/>
      <c r="G10" s="1403"/>
      <c r="H10" s="1403"/>
      <c r="I10" s="1403"/>
      <c r="J10" s="1403"/>
      <c r="K10" s="1403"/>
      <c r="L10" s="1404"/>
    </row>
    <row r="11" spans="1:12" x14ac:dyDescent="0.25">
      <c r="A11" s="569" t="s">
        <v>1429</v>
      </c>
      <c r="B11" s="1402"/>
      <c r="C11" s="1403"/>
      <c r="D11" s="1403"/>
      <c r="E11" s="1403"/>
      <c r="F11" s="1403"/>
      <c r="G11" s="1403"/>
      <c r="H11" s="1403"/>
      <c r="I11" s="1403"/>
      <c r="J11" s="1403"/>
      <c r="K11" s="1403"/>
      <c r="L11" s="1404"/>
    </row>
  </sheetData>
  <sheetProtection algorithmName="SHA-512" hashValue="ZQwecOJFlXVxjkK9Ttn4+AMTETz5gZlKhBUYa1hvaTaLZFacDpVfHkvoazY0U8xcFy4QwOhj/guqUXn2/u1fvA==" saltValue="sBbdCm1jJ83dgxaZbU1JWA==" spinCount="100000" sheet="1" objects="1" scenarios="1"/>
  <mergeCells count="13">
    <mergeCell ref="A1:B3"/>
    <mergeCell ref="C1:D1"/>
    <mergeCell ref="E1:H1"/>
    <mergeCell ref="I1:L3"/>
    <mergeCell ref="C2:D2"/>
    <mergeCell ref="E2:H2"/>
    <mergeCell ref="C3:D3"/>
    <mergeCell ref="E3:F3"/>
    <mergeCell ref="B8:L8"/>
    <mergeCell ref="B7:L7"/>
    <mergeCell ref="B9:L9"/>
    <mergeCell ref="B10:L10"/>
    <mergeCell ref="B11:L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186" customWidth="1"/>
    <col min="2" max="2" width="22.28515625" style="186" customWidth="1"/>
    <col min="3" max="3" width="42.5703125" style="186" customWidth="1"/>
    <col min="4" max="4" width="38.7109375" style="186" customWidth="1"/>
    <col min="5" max="5" width="32.140625" style="186" customWidth="1"/>
    <col min="6" max="6" width="33.85546875" style="186" customWidth="1"/>
    <col min="7" max="7" width="5.7109375" style="190" customWidth="1"/>
    <col min="8" max="8" width="24.28515625" style="190" customWidth="1"/>
    <col min="9" max="9" width="35.28515625" style="186" customWidth="1"/>
    <col min="10" max="10" width="31" style="186" customWidth="1"/>
    <col min="11" max="11" width="2.5703125" style="189" customWidth="1"/>
    <col min="12" max="12" width="30" style="186" customWidth="1"/>
    <col min="13" max="13" width="30.7109375" style="186" customWidth="1"/>
    <col min="14" max="14" width="33.42578125" style="186" customWidth="1"/>
    <col min="15" max="15" width="2.5703125" style="189" customWidth="1"/>
    <col min="16" max="16" width="11.140625" style="186" customWidth="1"/>
    <col min="17" max="18" width="15.5703125" style="186" customWidth="1"/>
    <col min="19" max="19" width="2.5703125" style="189" customWidth="1"/>
    <col min="20" max="20" width="12.5703125" style="186" customWidth="1"/>
    <col min="21" max="21" width="16.28515625" style="186" customWidth="1"/>
    <col min="22" max="22" width="18.140625" style="186" customWidth="1"/>
    <col min="23" max="23" width="12" style="186" hidden="1" customWidth="1"/>
    <col min="24" max="24" width="5.7109375" style="186" customWidth="1"/>
    <col min="25" max="26" width="0" style="186" hidden="1" customWidth="1"/>
    <col min="27" max="27" width="2.7109375" style="186" hidden="1" customWidth="1"/>
    <col min="28" max="29" width="0" style="186" hidden="1" customWidth="1"/>
    <col min="30" max="30" width="2.7109375" style="186" hidden="1" customWidth="1"/>
    <col min="31" max="32" width="0" style="186" hidden="1" customWidth="1"/>
    <col min="33" max="33" width="2.7109375" style="186" hidden="1" customWidth="1"/>
    <col min="34" max="35" width="0" style="186" hidden="1" customWidth="1"/>
    <col min="36" max="36" width="2.7109375" style="186" hidden="1" customWidth="1"/>
    <col min="37" max="37" width="0" style="186" hidden="1" customWidth="1"/>
    <col min="38" max="38" width="5.7109375" style="186" hidden="1" customWidth="1"/>
    <col min="39" max="40" width="0" style="186" hidden="1" customWidth="1"/>
    <col min="41" max="41" width="2.7109375" style="186" hidden="1" customWidth="1"/>
    <col min="42" max="43" width="0" style="186" hidden="1" customWidth="1"/>
    <col min="44" max="44" width="2.7109375" style="186" hidden="1" customWidth="1"/>
    <col min="45" max="46" width="0" style="186" hidden="1" customWidth="1"/>
    <col min="47" max="47" width="2.7109375" style="186" hidden="1" customWidth="1"/>
    <col min="48" max="49" width="0" style="186" hidden="1" customWidth="1"/>
    <col min="50" max="50" width="2.7109375" style="186" hidden="1" customWidth="1"/>
    <col min="51" max="51" width="0" style="186" hidden="1" customWidth="1"/>
    <col min="52" max="52" width="5.7109375" style="186" hidden="1" customWidth="1"/>
    <col min="53" max="54" width="0" style="186" hidden="1" customWidth="1"/>
    <col min="55" max="55" width="2.7109375" style="186" hidden="1" customWidth="1"/>
    <col min="56" max="57" width="0" style="186" hidden="1" customWidth="1"/>
    <col min="58" max="58" width="2.7109375" style="186" hidden="1" customWidth="1"/>
    <col min="59" max="60" width="0" style="186" hidden="1" customWidth="1"/>
    <col min="61" max="61" width="2.7109375" style="186" hidden="1" customWidth="1"/>
    <col min="62" max="63" width="0" style="186" hidden="1" customWidth="1"/>
    <col min="64" max="64" width="2.7109375" style="186" hidden="1" customWidth="1"/>
    <col min="65" max="65" width="0" style="186" hidden="1" customWidth="1"/>
    <col min="66" max="66" width="5.7109375" style="186" hidden="1" customWidth="1"/>
    <col min="67" max="68" width="0" style="186" hidden="1" customWidth="1"/>
    <col min="69" max="69" width="2.7109375" style="186" hidden="1" customWidth="1"/>
    <col min="70" max="71" width="0" style="186" hidden="1" customWidth="1"/>
    <col min="72" max="72" width="2.7109375" style="186" hidden="1" customWidth="1"/>
    <col min="73" max="74" width="0" style="186" hidden="1" customWidth="1"/>
    <col min="75" max="75" width="2.7109375" style="186" hidden="1" customWidth="1"/>
    <col min="76" max="77" width="0" style="186" hidden="1" customWidth="1"/>
    <col min="78" max="78" width="2.7109375" style="186" hidden="1" customWidth="1"/>
    <col min="79" max="79" width="0" style="186" hidden="1" customWidth="1"/>
    <col min="80" max="255" width="11" style="186"/>
    <col min="256" max="256" width="1.5703125" style="186" customWidth="1"/>
    <col min="257" max="257" width="8.5703125" style="186" customWidth="1"/>
    <col min="258" max="258" width="28.7109375" style="186" customWidth="1"/>
    <col min="259" max="259" width="26.5703125" style="186" customWidth="1"/>
    <col min="260" max="260" width="7.7109375" style="186" customWidth="1"/>
    <col min="261" max="261" width="19.42578125" style="186" customWidth="1"/>
    <col min="262" max="262" width="44.28515625" style="186" customWidth="1"/>
    <col min="263" max="263" width="17" style="186" customWidth="1"/>
    <col min="264" max="264" width="15.5703125" style="186" customWidth="1"/>
    <col min="265" max="265" width="14.140625" style="186" customWidth="1"/>
    <col min="266" max="266" width="1.7109375" style="186" customWidth="1"/>
    <col min="267" max="267" width="13.7109375" style="186" customWidth="1"/>
    <col min="268" max="268" width="13.85546875" style="186" bestFit="1" customWidth="1"/>
    <col min="269" max="269" width="2.5703125" style="186" customWidth="1"/>
    <col min="270" max="270" width="12.42578125" style="186" customWidth="1"/>
    <col min="271" max="271" width="13.5703125" style="186" customWidth="1"/>
    <col min="272" max="272" width="2.5703125" style="186" customWidth="1"/>
    <col min="273" max="273" width="12.42578125" style="186" customWidth="1"/>
    <col min="274" max="274" width="13.5703125" style="186" customWidth="1"/>
    <col min="275" max="275" width="2.5703125" style="186" customWidth="1"/>
    <col min="276" max="276" width="11.5703125" style="186" customWidth="1"/>
    <col min="277" max="277" width="13" style="186" customWidth="1"/>
    <col min="278" max="278" width="1.42578125" style="186" customWidth="1"/>
    <col min="279" max="279" width="10.5703125" style="186" customWidth="1"/>
    <col min="280" max="511" width="11" style="186"/>
    <col min="512" max="512" width="1.5703125" style="186" customWidth="1"/>
    <col min="513" max="513" width="8.5703125" style="186" customWidth="1"/>
    <col min="514" max="514" width="28.7109375" style="186" customWidth="1"/>
    <col min="515" max="515" width="26.5703125" style="186" customWidth="1"/>
    <col min="516" max="516" width="7.7109375" style="186" customWidth="1"/>
    <col min="517" max="517" width="19.42578125" style="186" customWidth="1"/>
    <col min="518" max="518" width="44.28515625" style="186" customWidth="1"/>
    <col min="519" max="519" width="17" style="186" customWidth="1"/>
    <col min="520" max="520" width="15.5703125" style="186" customWidth="1"/>
    <col min="521" max="521" width="14.140625" style="186" customWidth="1"/>
    <col min="522" max="522" width="1.7109375" style="186" customWidth="1"/>
    <col min="523" max="523" width="13.7109375" style="186" customWidth="1"/>
    <col min="524" max="524" width="13.85546875" style="186" bestFit="1" customWidth="1"/>
    <col min="525" max="525" width="2.5703125" style="186" customWidth="1"/>
    <col min="526" max="526" width="12.42578125" style="186" customWidth="1"/>
    <col min="527" max="527" width="13.5703125" style="186" customWidth="1"/>
    <col min="528" max="528" width="2.5703125" style="186" customWidth="1"/>
    <col min="529" max="529" width="12.42578125" style="186" customWidth="1"/>
    <col min="530" max="530" width="13.5703125" style="186" customWidth="1"/>
    <col min="531" max="531" width="2.5703125" style="186" customWidth="1"/>
    <col min="532" max="532" width="11.5703125" style="186" customWidth="1"/>
    <col min="533" max="533" width="13" style="186" customWidth="1"/>
    <col min="534" max="534" width="1.42578125" style="186" customWidth="1"/>
    <col min="535" max="535" width="10.5703125" style="186" customWidth="1"/>
    <col min="536" max="767" width="11" style="186"/>
    <col min="768" max="768" width="1.5703125" style="186" customWidth="1"/>
    <col min="769" max="769" width="8.5703125" style="186" customWidth="1"/>
    <col min="770" max="770" width="28.7109375" style="186" customWidth="1"/>
    <col min="771" max="771" width="26.5703125" style="186" customWidth="1"/>
    <col min="772" max="772" width="7.7109375" style="186" customWidth="1"/>
    <col min="773" max="773" width="19.42578125" style="186" customWidth="1"/>
    <col min="774" max="774" width="44.28515625" style="186" customWidth="1"/>
    <col min="775" max="775" width="17" style="186" customWidth="1"/>
    <col min="776" max="776" width="15.5703125" style="186" customWidth="1"/>
    <col min="777" max="777" width="14.140625" style="186" customWidth="1"/>
    <col min="778" max="778" width="1.7109375" style="186" customWidth="1"/>
    <col min="779" max="779" width="13.7109375" style="186" customWidth="1"/>
    <col min="780" max="780" width="13.85546875" style="186" bestFit="1" customWidth="1"/>
    <col min="781" max="781" width="2.5703125" style="186" customWidth="1"/>
    <col min="782" max="782" width="12.42578125" style="186" customWidth="1"/>
    <col min="783" max="783" width="13.5703125" style="186" customWidth="1"/>
    <col min="784" max="784" width="2.5703125" style="186" customWidth="1"/>
    <col min="785" max="785" width="12.42578125" style="186" customWidth="1"/>
    <col min="786" max="786" width="13.5703125" style="186" customWidth="1"/>
    <col min="787" max="787" width="2.5703125" style="186" customWidth="1"/>
    <col min="788" max="788" width="11.5703125" style="186" customWidth="1"/>
    <col min="789" max="789" width="13" style="186" customWidth="1"/>
    <col min="790" max="790" width="1.42578125" style="186" customWidth="1"/>
    <col min="791" max="791" width="10.5703125" style="186" customWidth="1"/>
    <col min="792" max="1023" width="11" style="186"/>
    <col min="1024" max="1024" width="1.5703125" style="186" customWidth="1"/>
    <col min="1025" max="1025" width="8.5703125" style="186" customWidth="1"/>
    <col min="1026" max="1026" width="28.7109375" style="186" customWidth="1"/>
    <col min="1027" max="1027" width="26.5703125" style="186" customWidth="1"/>
    <col min="1028" max="1028" width="7.7109375" style="186" customWidth="1"/>
    <col min="1029" max="1029" width="19.42578125" style="186" customWidth="1"/>
    <col min="1030" max="1030" width="44.28515625" style="186" customWidth="1"/>
    <col min="1031" max="1031" width="17" style="186" customWidth="1"/>
    <col min="1032" max="1032" width="15.5703125" style="186" customWidth="1"/>
    <col min="1033" max="1033" width="14.140625" style="186" customWidth="1"/>
    <col min="1034" max="1034" width="1.7109375" style="186" customWidth="1"/>
    <col min="1035" max="1035" width="13.7109375" style="186" customWidth="1"/>
    <col min="1036" max="1036" width="13.85546875" style="186" bestFit="1" customWidth="1"/>
    <col min="1037" max="1037" width="2.5703125" style="186" customWidth="1"/>
    <col min="1038" max="1038" width="12.42578125" style="186" customWidth="1"/>
    <col min="1039" max="1039" width="13.5703125" style="186" customWidth="1"/>
    <col min="1040" max="1040" width="2.5703125" style="186" customWidth="1"/>
    <col min="1041" max="1041" width="12.42578125" style="186" customWidth="1"/>
    <col min="1042" max="1042" width="13.5703125" style="186" customWidth="1"/>
    <col min="1043" max="1043" width="2.5703125" style="186" customWidth="1"/>
    <col min="1044" max="1044" width="11.5703125" style="186" customWidth="1"/>
    <col min="1045" max="1045" width="13" style="186" customWidth="1"/>
    <col min="1046" max="1046" width="1.42578125" style="186" customWidth="1"/>
    <col min="1047" max="1047" width="10.5703125" style="186" customWidth="1"/>
    <col min="1048" max="1279" width="11" style="186"/>
    <col min="1280" max="1280" width="1.5703125" style="186" customWidth="1"/>
    <col min="1281" max="1281" width="8.5703125" style="186" customWidth="1"/>
    <col min="1282" max="1282" width="28.7109375" style="186" customWidth="1"/>
    <col min="1283" max="1283" width="26.5703125" style="186" customWidth="1"/>
    <col min="1284" max="1284" width="7.7109375" style="186" customWidth="1"/>
    <col min="1285" max="1285" width="19.42578125" style="186" customWidth="1"/>
    <col min="1286" max="1286" width="44.28515625" style="186" customWidth="1"/>
    <col min="1287" max="1287" width="17" style="186" customWidth="1"/>
    <col min="1288" max="1288" width="15.5703125" style="186" customWidth="1"/>
    <col min="1289" max="1289" width="14.140625" style="186" customWidth="1"/>
    <col min="1290" max="1290" width="1.7109375" style="186" customWidth="1"/>
    <col min="1291" max="1291" width="13.7109375" style="186" customWidth="1"/>
    <col min="1292" max="1292" width="13.85546875" style="186" bestFit="1" customWidth="1"/>
    <col min="1293" max="1293" width="2.5703125" style="186" customWidth="1"/>
    <col min="1294" max="1294" width="12.42578125" style="186" customWidth="1"/>
    <col min="1295" max="1295" width="13.5703125" style="186" customWidth="1"/>
    <col min="1296" max="1296" width="2.5703125" style="186" customWidth="1"/>
    <col min="1297" max="1297" width="12.42578125" style="186" customWidth="1"/>
    <col min="1298" max="1298" width="13.5703125" style="186" customWidth="1"/>
    <col min="1299" max="1299" width="2.5703125" style="186" customWidth="1"/>
    <col min="1300" max="1300" width="11.5703125" style="186" customWidth="1"/>
    <col min="1301" max="1301" width="13" style="186" customWidth="1"/>
    <col min="1302" max="1302" width="1.42578125" style="186" customWidth="1"/>
    <col min="1303" max="1303" width="10.5703125" style="186" customWidth="1"/>
    <col min="1304" max="1535" width="11" style="186"/>
    <col min="1536" max="1536" width="1.5703125" style="186" customWidth="1"/>
    <col min="1537" max="1537" width="8.5703125" style="186" customWidth="1"/>
    <col min="1538" max="1538" width="28.7109375" style="186" customWidth="1"/>
    <col min="1539" max="1539" width="26.5703125" style="186" customWidth="1"/>
    <col min="1540" max="1540" width="7.7109375" style="186" customWidth="1"/>
    <col min="1541" max="1541" width="19.42578125" style="186" customWidth="1"/>
    <col min="1542" max="1542" width="44.28515625" style="186" customWidth="1"/>
    <col min="1543" max="1543" width="17" style="186" customWidth="1"/>
    <col min="1544" max="1544" width="15.5703125" style="186" customWidth="1"/>
    <col min="1545" max="1545" width="14.140625" style="186" customWidth="1"/>
    <col min="1546" max="1546" width="1.7109375" style="186" customWidth="1"/>
    <col min="1547" max="1547" width="13.7109375" style="186" customWidth="1"/>
    <col min="1548" max="1548" width="13.85546875" style="186" bestFit="1" customWidth="1"/>
    <col min="1549" max="1549" width="2.5703125" style="186" customWidth="1"/>
    <col min="1550" max="1550" width="12.42578125" style="186" customWidth="1"/>
    <col min="1551" max="1551" width="13.5703125" style="186" customWidth="1"/>
    <col min="1552" max="1552" width="2.5703125" style="186" customWidth="1"/>
    <col min="1553" max="1553" width="12.42578125" style="186" customWidth="1"/>
    <col min="1554" max="1554" width="13.5703125" style="186" customWidth="1"/>
    <col min="1555" max="1555" width="2.5703125" style="186" customWidth="1"/>
    <col min="1556" max="1556" width="11.5703125" style="186" customWidth="1"/>
    <col min="1557" max="1557" width="13" style="186" customWidth="1"/>
    <col min="1558" max="1558" width="1.42578125" style="186" customWidth="1"/>
    <col min="1559" max="1559" width="10.5703125" style="186" customWidth="1"/>
    <col min="1560" max="1791" width="11" style="186"/>
    <col min="1792" max="1792" width="1.5703125" style="186" customWidth="1"/>
    <col min="1793" max="1793" width="8.5703125" style="186" customWidth="1"/>
    <col min="1794" max="1794" width="28.7109375" style="186" customWidth="1"/>
    <col min="1795" max="1795" width="26.5703125" style="186" customWidth="1"/>
    <col min="1796" max="1796" width="7.7109375" style="186" customWidth="1"/>
    <col min="1797" max="1797" width="19.42578125" style="186" customWidth="1"/>
    <col min="1798" max="1798" width="44.28515625" style="186" customWidth="1"/>
    <col min="1799" max="1799" width="17" style="186" customWidth="1"/>
    <col min="1800" max="1800" width="15.5703125" style="186" customWidth="1"/>
    <col min="1801" max="1801" width="14.140625" style="186" customWidth="1"/>
    <col min="1802" max="1802" width="1.7109375" style="186" customWidth="1"/>
    <col min="1803" max="1803" width="13.7109375" style="186" customWidth="1"/>
    <col min="1804" max="1804" width="13.85546875" style="186" bestFit="1" customWidth="1"/>
    <col min="1805" max="1805" width="2.5703125" style="186" customWidth="1"/>
    <col min="1806" max="1806" width="12.42578125" style="186" customWidth="1"/>
    <col min="1807" max="1807" width="13.5703125" style="186" customWidth="1"/>
    <col min="1808" max="1808" width="2.5703125" style="186" customWidth="1"/>
    <col min="1809" max="1809" width="12.42578125" style="186" customWidth="1"/>
    <col min="1810" max="1810" width="13.5703125" style="186" customWidth="1"/>
    <col min="1811" max="1811" width="2.5703125" style="186" customWidth="1"/>
    <col min="1812" max="1812" width="11.5703125" style="186" customWidth="1"/>
    <col min="1813" max="1813" width="13" style="186" customWidth="1"/>
    <col min="1814" max="1814" width="1.42578125" style="186" customWidth="1"/>
    <col min="1815" max="1815" width="10.5703125" style="186" customWidth="1"/>
    <col min="1816" max="2047" width="11" style="186"/>
    <col min="2048" max="2048" width="1.5703125" style="186" customWidth="1"/>
    <col min="2049" max="2049" width="8.5703125" style="186" customWidth="1"/>
    <col min="2050" max="2050" width="28.7109375" style="186" customWidth="1"/>
    <col min="2051" max="2051" width="26.5703125" style="186" customWidth="1"/>
    <col min="2052" max="2052" width="7.7109375" style="186" customWidth="1"/>
    <col min="2053" max="2053" width="19.42578125" style="186" customWidth="1"/>
    <col min="2054" max="2054" width="44.28515625" style="186" customWidth="1"/>
    <col min="2055" max="2055" width="17" style="186" customWidth="1"/>
    <col min="2056" max="2056" width="15.5703125" style="186" customWidth="1"/>
    <col min="2057" max="2057" width="14.140625" style="186" customWidth="1"/>
    <col min="2058" max="2058" width="1.7109375" style="186" customWidth="1"/>
    <col min="2059" max="2059" width="13.7109375" style="186" customWidth="1"/>
    <col min="2060" max="2060" width="13.85546875" style="186" bestFit="1" customWidth="1"/>
    <col min="2061" max="2061" width="2.5703125" style="186" customWidth="1"/>
    <col min="2062" max="2062" width="12.42578125" style="186" customWidth="1"/>
    <col min="2063" max="2063" width="13.5703125" style="186" customWidth="1"/>
    <col min="2064" max="2064" width="2.5703125" style="186" customWidth="1"/>
    <col min="2065" max="2065" width="12.42578125" style="186" customWidth="1"/>
    <col min="2066" max="2066" width="13.5703125" style="186" customWidth="1"/>
    <col min="2067" max="2067" width="2.5703125" style="186" customWidth="1"/>
    <col min="2068" max="2068" width="11.5703125" style="186" customWidth="1"/>
    <col min="2069" max="2069" width="13" style="186" customWidth="1"/>
    <col min="2070" max="2070" width="1.42578125" style="186" customWidth="1"/>
    <col min="2071" max="2071" width="10.5703125" style="186" customWidth="1"/>
    <col min="2072" max="2303" width="11" style="186"/>
    <col min="2304" max="2304" width="1.5703125" style="186" customWidth="1"/>
    <col min="2305" max="2305" width="8.5703125" style="186" customWidth="1"/>
    <col min="2306" max="2306" width="28.7109375" style="186" customWidth="1"/>
    <col min="2307" max="2307" width="26.5703125" style="186" customWidth="1"/>
    <col min="2308" max="2308" width="7.7109375" style="186" customWidth="1"/>
    <col min="2309" max="2309" width="19.42578125" style="186" customWidth="1"/>
    <col min="2310" max="2310" width="44.28515625" style="186" customWidth="1"/>
    <col min="2311" max="2311" width="17" style="186" customWidth="1"/>
    <col min="2312" max="2312" width="15.5703125" style="186" customWidth="1"/>
    <col min="2313" max="2313" width="14.140625" style="186" customWidth="1"/>
    <col min="2314" max="2314" width="1.7109375" style="186" customWidth="1"/>
    <col min="2315" max="2315" width="13.7109375" style="186" customWidth="1"/>
    <col min="2316" max="2316" width="13.85546875" style="186" bestFit="1" customWidth="1"/>
    <col min="2317" max="2317" width="2.5703125" style="186" customWidth="1"/>
    <col min="2318" max="2318" width="12.42578125" style="186" customWidth="1"/>
    <col min="2319" max="2319" width="13.5703125" style="186" customWidth="1"/>
    <col min="2320" max="2320" width="2.5703125" style="186" customWidth="1"/>
    <col min="2321" max="2321" width="12.42578125" style="186" customWidth="1"/>
    <col min="2322" max="2322" width="13.5703125" style="186" customWidth="1"/>
    <col min="2323" max="2323" width="2.5703125" style="186" customWidth="1"/>
    <col min="2324" max="2324" width="11.5703125" style="186" customWidth="1"/>
    <col min="2325" max="2325" width="13" style="186" customWidth="1"/>
    <col min="2326" max="2326" width="1.42578125" style="186" customWidth="1"/>
    <col min="2327" max="2327" width="10.5703125" style="186" customWidth="1"/>
    <col min="2328" max="2559" width="11" style="186"/>
    <col min="2560" max="2560" width="1.5703125" style="186" customWidth="1"/>
    <col min="2561" max="2561" width="8.5703125" style="186" customWidth="1"/>
    <col min="2562" max="2562" width="28.7109375" style="186" customWidth="1"/>
    <col min="2563" max="2563" width="26.5703125" style="186" customWidth="1"/>
    <col min="2564" max="2564" width="7.7109375" style="186" customWidth="1"/>
    <col min="2565" max="2565" width="19.42578125" style="186" customWidth="1"/>
    <col min="2566" max="2566" width="44.28515625" style="186" customWidth="1"/>
    <col min="2567" max="2567" width="17" style="186" customWidth="1"/>
    <col min="2568" max="2568" width="15.5703125" style="186" customWidth="1"/>
    <col min="2569" max="2569" width="14.140625" style="186" customWidth="1"/>
    <col min="2570" max="2570" width="1.7109375" style="186" customWidth="1"/>
    <col min="2571" max="2571" width="13.7109375" style="186" customWidth="1"/>
    <col min="2572" max="2572" width="13.85546875" style="186" bestFit="1" customWidth="1"/>
    <col min="2573" max="2573" width="2.5703125" style="186" customWidth="1"/>
    <col min="2574" max="2574" width="12.42578125" style="186" customWidth="1"/>
    <col min="2575" max="2575" width="13.5703125" style="186" customWidth="1"/>
    <col min="2576" max="2576" width="2.5703125" style="186" customWidth="1"/>
    <col min="2577" max="2577" width="12.42578125" style="186" customWidth="1"/>
    <col min="2578" max="2578" width="13.5703125" style="186" customWidth="1"/>
    <col min="2579" max="2579" width="2.5703125" style="186" customWidth="1"/>
    <col min="2580" max="2580" width="11.5703125" style="186" customWidth="1"/>
    <col min="2581" max="2581" width="13" style="186" customWidth="1"/>
    <col min="2582" max="2582" width="1.42578125" style="186" customWidth="1"/>
    <col min="2583" max="2583" width="10.5703125" style="186" customWidth="1"/>
    <col min="2584" max="2815" width="11" style="186"/>
    <col min="2816" max="2816" width="1.5703125" style="186" customWidth="1"/>
    <col min="2817" max="2817" width="8.5703125" style="186" customWidth="1"/>
    <col min="2818" max="2818" width="28.7109375" style="186" customWidth="1"/>
    <col min="2819" max="2819" width="26.5703125" style="186" customWidth="1"/>
    <col min="2820" max="2820" width="7.7109375" style="186" customWidth="1"/>
    <col min="2821" max="2821" width="19.42578125" style="186" customWidth="1"/>
    <col min="2822" max="2822" width="44.28515625" style="186" customWidth="1"/>
    <col min="2823" max="2823" width="17" style="186" customWidth="1"/>
    <col min="2824" max="2824" width="15.5703125" style="186" customWidth="1"/>
    <col min="2825" max="2825" width="14.140625" style="186" customWidth="1"/>
    <col min="2826" max="2826" width="1.7109375" style="186" customWidth="1"/>
    <col min="2827" max="2827" width="13.7109375" style="186" customWidth="1"/>
    <col min="2828" max="2828" width="13.85546875" style="186" bestFit="1" customWidth="1"/>
    <col min="2829" max="2829" width="2.5703125" style="186" customWidth="1"/>
    <col min="2830" max="2830" width="12.42578125" style="186" customWidth="1"/>
    <col min="2831" max="2831" width="13.5703125" style="186" customWidth="1"/>
    <col min="2832" max="2832" width="2.5703125" style="186" customWidth="1"/>
    <col min="2833" max="2833" width="12.42578125" style="186" customWidth="1"/>
    <col min="2834" max="2834" width="13.5703125" style="186" customWidth="1"/>
    <col min="2835" max="2835" width="2.5703125" style="186" customWidth="1"/>
    <col min="2836" max="2836" width="11.5703125" style="186" customWidth="1"/>
    <col min="2837" max="2837" width="13" style="186" customWidth="1"/>
    <col min="2838" max="2838" width="1.42578125" style="186" customWidth="1"/>
    <col min="2839" max="2839" width="10.5703125" style="186" customWidth="1"/>
    <col min="2840" max="3071" width="11" style="186"/>
    <col min="3072" max="3072" width="1.5703125" style="186" customWidth="1"/>
    <col min="3073" max="3073" width="8.5703125" style="186" customWidth="1"/>
    <col min="3074" max="3074" width="28.7109375" style="186" customWidth="1"/>
    <col min="3075" max="3075" width="26.5703125" style="186" customWidth="1"/>
    <col min="3076" max="3076" width="7.7109375" style="186" customWidth="1"/>
    <col min="3077" max="3077" width="19.42578125" style="186" customWidth="1"/>
    <col min="3078" max="3078" width="44.28515625" style="186" customWidth="1"/>
    <col min="3079" max="3079" width="17" style="186" customWidth="1"/>
    <col min="3080" max="3080" width="15.5703125" style="186" customWidth="1"/>
    <col min="3081" max="3081" width="14.140625" style="186" customWidth="1"/>
    <col min="3082" max="3082" width="1.7109375" style="186" customWidth="1"/>
    <col min="3083" max="3083" width="13.7109375" style="186" customWidth="1"/>
    <col min="3084" max="3084" width="13.85546875" style="186" bestFit="1" customWidth="1"/>
    <col min="3085" max="3085" width="2.5703125" style="186" customWidth="1"/>
    <col min="3086" max="3086" width="12.42578125" style="186" customWidth="1"/>
    <col min="3087" max="3087" width="13.5703125" style="186" customWidth="1"/>
    <col min="3088" max="3088" width="2.5703125" style="186" customWidth="1"/>
    <col min="3089" max="3089" width="12.42578125" style="186" customWidth="1"/>
    <col min="3090" max="3090" width="13.5703125" style="186" customWidth="1"/>
    <col min="3091" max="3091" width="2.5703125" style="186" customWidth="1"/>
    <col min="3092" max="3092" width="11.5703125" style="186" customWidth="1"/>
    <col min="3093" max="3093" width="13" style="186" customWidth="1"/>
    <col min="3094" max="3094" width="1.42578125" style="186" customWidth="1"/>
    <col min="3095" max="3095" width="10.5703125" style="186" customWidth="1"/>
    <col min="3096" max="3327" width="11" style="186"/>
    <col min="3328" max="3328" width="1.5703125" style="186" customWidth="1"/>
    <col min="3329" max="3329" width="8.5703125" style="186" customWidth="1"/>
    <col min="3330" max="3330" width="28.7109375" style="186" customWidth="1"/>
    <col min="3331" max="3331" width="26.5703125" style="186" customWidth="1"/>
    <col min="3332" max="3332" width="7.7109375" style="186" customWidth="1"/>
    <col min="3333" max="3333" width="19.42578125" style="186" customWidth="1"/>
    <col min="3334" max="3334" width="44.28515625" style="186" customWidth="1"/>
    <col min="3335" max="3335" width="17" style="186" customWidth="1"/>
    <col min="3336" max="3336" width="15.5703125" style="186" customWidth="1"/>
    <col min="3337" max="3337" width="14.140625" style="186" customWidth="1"/>
    <col min="3338" max="3338" width="1.7109375" style="186" customWidth="1"/>
    <col min="3339" max="3339" width="13.7109375" style="186" customWidth="1"/>
    <col min="3340" max="3340" width="13.85546875" style="186" bestFit="1" customWidth="1"/>
    <col min="3341" max="3341" width="2.5703125" style="186" customWidth="1"/>
    <col min="3342" max="3342" width="12.42578125" style="186" customWidth="1"/>
    <col min="3343" max="3343" width="13.5703125" style="186" customWidth="1"/>
    <col min="3344" max="3344" width="2.5703125" style="186" customWidth="1"/>
    <col min="3345" max="3345" width="12.42578125" style="186" customWidth="1"/>
    <col min="3346" max="3346" width="13.5703125" style="186" customWidth="1"/>
    <col min="3347" max="3347" width="2.5703125" style="186" customWidth="1"/>
    <col min="3348" max="3348" width="11.5703125" style="186" customWidth="1"/>
    <col min="3349" max="3349" width="13" style="186" customWidth="1"/>
    <col min="3350" max="3350" width="1.42578125" style="186" customWidth="1"/>
    <col min="3351" max="3351" width="10.5703125" style="186" customWidth="1"/>
    <col min="3352" max="3583" width="11" style="186"/>
    <col min="3584" max="3584" width="1.5703125" style="186" customWidth="1"/>
    <col min="3585" max="3585" width="8.5703125" style="186" customWidth="1"/>
    <col min="3586" max="3586" width="28.7109375" style="186" customWidth="1"/>
    <col min="3587" max="3587" width="26.5703125" style="186" customWidth="1"/>
    <col min="3588" max="3588" width="7.7109375" style="186" customWidth="1"/>
    <col min="3589" max="3589" width="19.42578125" style="186" customWidth="1"/>
    <col min="3590" max="3590" width="44.28515625" style="186" customWidth="1"/>
    <col min="3591" max="3591" width="17" style="186" customWidth="1"/>
    <col min="3592" max="3592" width="15.5703125" style="186" customWidth="1"/>
    <col min="3593" max="3593" width="14.140625" style="186" customWidth="1"/>
    <col min="3594" max="3594" width="1.7109375" style="186" customWidth="1"/>
    <col min="3595" max="3595" width="13.7109375" style="186" customWidth="1"/>
    <col min="3596" max="3596" width="13.85546875" style="186" bestFit="1" customWidth="1"/>
    <col min="3597" max="3597" width="2.5703125" style="186" customWidth="1"/>
    <col min="3598" max="3598" width="12.42578125" style="186" customWidth="1"/>
    <col min="3599" max="3599" width="13.5703125" style="186" customWidth="1"/>
    <col min="3600" max="3600" width="2.5703125" style="186" customWidth="1"/>
    <col min="3601" max="3601" width="12.42578125" style="186" customWidth="1"/>
    <col min="3602" max="3602" width="13.5703125" style="186" customWidth="1"/>
    <col min="3603" max="3603" width="2.5703125" style="186" customWidth="1"/>
    <col min="3604" max="3604" width="11.5703125" style="186" customWidth="1"/>
    <col min="3605" max="3605" width="13" style="186" customWidth="1"/>
    <col min="3606" max="3606" width="1.42578125" style="186" customWidth="1"/>
    <col min="3607" max="3607" width="10.5703125" style="186" customWidth="1"/>
    <col min="3608" max="3839" width="11" style="186"/>
    <col min="3840" max="3840" width="1.5703125" style="186" customWidth="1"/>
    <col min="3841" max="3841" width="8.5703125" style="186" customWidth="1"/>
    <col min="3842" max="3842" width="28.7109375" style="186" customWidth="1"/>
    <col min="3843" max="3843" width="26.5703125" style="186" customWidth="1"/>
    <col min="3844" max="3844" width="7.7109375" style="186" customWidth="1"/>
    <col min="3845" max="3845" width="19.42578125" style="186" customWidth="1"/>
    <col min="3846" max="3846" width="44.28515625" style="186" customWidth="1"/>
    <col min="3847" max="3847" width="17" style="186" customWidth="1"/>
    <col min="3848" max="3848" width="15.5703125" style="186" customWidth="1"/>
    <col min="3849" max="3849" width="14.140625" style="186" customWidth="1"/>
    <col min="3850" max="3850" width="1.7109375" style="186" customWidth="1"/>
    <col min="3851" max="3851" width="13.7109375" style="186" customWidth="1"/>
    <col min="3852" max="3852" width="13.85546875" style="186" bestFit="1" customWidth="1"/>
    <col min="3853" max="3853" width="2.5703125" style="186" customWidth="1"/>
    <col min="3854" max="3854" width="12.42578125" style="186" customWidth="1"/>
    <col min="3855" max="3855" width="13.5703125" style="186" customWidth="1"/>
    <col min="3856" max="3856" width="2.5703125" style="186" customWidth="1"/>
    <col min="3857" max="3857" width="12.42578125" style="186" customWidth="1"/>
    <col min="3858" max="3858" width="13.5703125" style="186" customWidth="1"/>
    <col min="3859" max="3859" width="2.5703125" style="186" customWidth="1"/>
    <col min="3860" max="3860" width="11.5703125" style="186" customWidth="1"/>
    <col min="3861" max="3861" width="13" style="186" customWidth="1"/>
    <col min="3862" max="3862" width="1.42578125" style="186" customWidth="1"/>
    <col min="3863" max="3863" width="10.5703125" style="186" customWidth="1"/>
    <col min="3864" max="4095" width="11" style="186"/>
    <col min="4096" max="4096" width="1.5703125" style="186" customWidth="1"/>
    <col min="4097" max="4097" width="8.5703125" style="186" customWidth="1"/>
    <col min="4098" max="4098" width="28.7109375" style="186" customWidth="1"/>
    <col min="4099" max="4099" width="26.5703125" style="186" customWidth="1"/>
    <col min="4100" max="4100" width="7.7109375" style="186" customWidth="1"/>
    <col min="4101" max="4101" width="19.42578125" style="186" customWidth="1"/>
    <col min="4102" max="4102" width="44.28515625" style="186" customWidth="1"/>
    <col min="4103" max="4103" width="17" style="186" customWidth="1"/>
    <col min="4104" max="4104" width="15.5703125" style="186" customWidth="1"/>
    <col min="4105" max="4105" width="14.140625" style="186" customWidth="1"/>
    <col min="4106" max="4106" width="1.7109375" style="186" customWidth="1"/>
    <col min="4107" max="4107" width="13.7109375" style="186" customWidth="1"/>
    <col min="4108" max="4108" width="13.85546875" style="186" bestFit="1" customWidth="1"/>
    <col min="4109" max="4109" width="2.5703125" style="186" customWidth="1"/>
    <col min="4110" max="4110" width="12.42578125" style="186" customWidth="1"/>
    <col min="4111" max="4111" width="13.5703125" style="186" customWidth="1"/>
    <col min="4112" max="4112" width="2.5703125" style="186" customWidth="1"/>
    <col min="4113" max="4113" width="12.42578125" style="186" customWidth="1"/>
    <col min="4114" max="4114" width="13.5703125" style="186" customWidth="1"/>
    <col min="4115" max="4115" width="2.5703125" style="186" customWidth="1"/>
    <col min="4116" max="4116" width="11.5703125" style="186" customWidth="1"/>
    <col min="4117" max="4117" width="13" style="186" customWidth="1"/>
    <col min="4118" max="4118" width="1.42578125" style="186" customWidth="1"/>
    <col min="4119" max="4119" width="10.5703125" style="186" customWidth="1"/>
    <col min="4120" max="4351" width="11" style="186"/>
    <col min="4352" max="4352" width="1.5703125" style="186" customWidth="1"/>
    <col min="4353" max="4353" width="8.5703125" style="186" customWidth="1"/>
    <col min="4354" max="4354" width="28.7109375" style="186" customWidth="1"/>
    <col min="4355" max="4355" width="26.5703125" style="186" customWidth="1"/>
    <col min="4356" max="4356" width="7.7109375" style="186" customWidth="1"/>
    <col min="4357" max="4357" width="19.42578125" style="186" customWidth="1"/>
    <col min="4358" max="4358" width="44.28515625" style="186" customWidth="1"/>
    <col min="4359" max="4359" width="17" style="186" customWidth="1"/>
    <col min="4360" max="4360" width="15.5703125" style="186" customWidth="1"/>
    <col min="4361" max="4361" width="14.140625" style="186" customWidth="1"/>
    <col min="4362" max="4362" width="1.7109375" style="186" customWidth="1"/>
    <col min="4363" max="4363" width="13.7109375" style="186" customWidth="1"/>
    <col min="4364" max="4364" width="13.85546875" style="186" bestFit="1" customWidth="1"/>
    <col min="4365" max="4365" width="2.5703125" style="186" customWidth="1"/>
    <col min="4366" max="4366" width="12.42578125" style="186" customWidth="1"/>
    <col min="4367" max="4367" width="13.5703125" style="186" customWidth="1"/>
    <col min="4368" max="4368" width="2.5703125" style="186" customWidth="1"/>
    <col min="4369" max="4369" width="12.42578125" style="186" customWidth="1"/>
    <col min="4370" max="4370" width="13.5703125" style="186" customWidth="1"/>
    <col min="4371" max="4371" width="2.5703125" style="186" customWidth="1"/>
    <col min="4372" max="4372" width="11.5703125" style="186" customWidth="1"/>
    <col min="4373" max="4373" width="13" style="186" customWidth="1"/>
    <col min="4374" max="4374" width="1.42578125" style="186" customWidth="1"/>
    <col min="4375" max="4375" width="10.5703125" style="186" customWidth="1"/>
    <col min="4376" max="4607" width="11" style="186"/>
    <col min="4608" max="4608" width="1.5703125" style="186" customWidth="1"/>
    <col min="4609" max="4609" width="8.5703125" style="186" customWidth="1"/>
    <col min="4610" max="4610" width="28.7109375" style="186" customWidth="1"/>
    <col min="4611" max="4611" width="26.5703125" style="186" customWidth="1"/>
    <col min="4612" max="4612" width="7.7109375" style="186" customWidth="1"/>
    <col min="4613" max="4613" width="19.42578125" style="186" customWidth="1"/>
    <col min="4614" max="4614" width="44.28515625" style="186" customWidth="1"/>
    <col min="4615" max="4615" width="17" style="186" customWidth="1"/>
    <col min="4616" max="4616" width="15.5703125" style="186" customWidth="1"/>
    <col min="4617" max="4617" width="14.140625" style="186" customWidth="1"/>
    <col min="4618" max="4618" width="1.7109375" style="186" customWidth="1"/>
    <col min="4619" max="4619" width="13.7109375" style="186" customWidth="1"/>
    <col min="4620" max="4620" width="13.85546875" style="186" bestFit="1" customWidth="1"/>
    <col min="4621" max="4621" width="2.5703125" style="186" customWidth="1"/>
    <col min="4622" max="4622" width="12.42578125" style="186" customWidth="1"/>
    <col min="4623" max="4623" width="13.5703125" style="186" customWidth="1"/>
    <col min="4624" max="4624" width="2.5703125" style="186" customWidth="1"/>
    <col min="4625" max="4625" width="12.42578125" style="186" customWidth="1"/>
    <col min="4626" max="4626" width="13.5703125" style="186" customWidth="1"/>
    <col min="4627" max="4627" width="2.5703125" style="186" customWidth="1"/>
    <col min="4628" max="4628" width="11.5703125" style="186" customWidth="1"/>
    <col min="4629" max="4629" width="13" style="186" customWidth="1"/>
    <col min="4630" max="4630" width="1.42578125" style="186" customWidth="1"/>
    <col min="4631" max="4631" width="10.5703125" style="186" customWidth="1"/>
    <col min="4632" max="4863" width="11" style="186"/>
    <col min="4864" max="4864" width="1.5703125" style="186" customWidth="1"/>
    <col min="4865" max="4865" width="8.5703125" style="186" customWidth="1"/>
    <col min="4866" max="4866" width="28.7109375" style="186" customWidth="1"/>
    <col min="4867" max="4867" width="26.5703125" style="186" customWidth="1"/>
    <col min="4868" max="4868" width="7.7109375" style="186" customWidth="1"/>
    <col min="4869" max="4869" width="19.42578125" style="186" customWidth="1"/>
    <col min="4870" max="4870" width="44.28515625" style="186" customWidth="1"/>
    <col min="4871" max="4871" width="17" style="186" customWidth="1"/>
    <col min="4872" max="4872" width="15.5703125" style="186" customWidth="1"/>
    <col min="4873" max="4873" width="14.140625" style="186" customWidth="1"/>
    <col min="4874" max="4874" width="1.7109375" style="186" customWidth="1"/>
    <col min="4875" max="4875" width="13.7109375" style="186" customWidth="1"/>
    <col min="4876" max="4876" width="13.85546875" style="186" bestFit="1" customWidth="1"/>
    <col min="4877" max="4877" width="2.5703125" style="186" customWidth="1"/>
    <col min="4878" max="4878" width="12.42578125" style="186" customWidth="1"/>
    <col min="4879" max="4879" width="13.5703125" style="186" customWidth="1"/>
    <col min="4880" max="4880" width="2.5703125" style="186" customWidth="1"/>
    <col min="4881" max="4881" width="12.42578125" style="186" customWidth="1"/>
    <col min="4882" max="4882" width="13.5703125" style="186" customWidth="1"/>
    <col min="4883" max="4883" width="2.5703125" style="186" customWidth="1"/>
    <col min="4884" max="4884" width="11.5703125" style="186" customWidth="1"/>
    <col min="4885" max="4885" width="13" style="186" customWidth="1"/>
    <col min="4886" max="4886" width="1.42578125" style="186" customWidth="1"/>
    <col min="4887" max="4887" width="10.5703125" style="186" customWidth="1"/>
    <col min="4888" max="5119" width="11" style="186"/>
    <col min="5120" max="5120" width="1.5703125" style="186" customWidth="1"/>
    <col min="5121" max="5121" width="8.5703125" style="186" customWidth="1"/>
    <col min="5122" max="5122" width="28.7109375" style="186" customWidth="1"/>
    <col min="5123" max="5123" width="26.5703125" style="186" customWidth="1"/>
    <col min="5124" max="5124" width="7.7109375" style="186" customWidth="1"/>
    <col min="5125" max="5125" width="19.42578125" style="186" customWidth="1"/>
    <col min="5126" max="5126" width="44.28515625" style="186" customWidth="1"/>
    <col min="5127" max="5127" width="17" style="186" customWidth="1"/>
    <col min="5128" max="5128" width="15.5703125" style="186" customWidth="1"/>
    <col min="5129" max="5129" width="14.140625" style="186" customWidth="1"/>
    <col min="5130" max="5130" width="1.7109375" style="186" customWidth="1"/>
    <col min="5131" max="5131" width="13.7109375" style="186" customWidth="1"/>
    <col min="5132" max="5132" width="13.85546875" style="186" bestFit="1" customWidth="1"/>
    <col min="5133" max="5133" width="2.5703125" style="186" customWidth="1"/>
    <col min="5134" max="5134" width="12.42578125" style="186" customWidth="1"/>
    <col min="5135" max="5135" width="13.5703125" style="186" customWidth="1"/>
    <col min="5136" max="5136" width="2.5703125" style="186" customWidth="1"/>
    <col min="5137" max="5137" width="12.42578125" style="186" customWidth="1"/>
    <col min="5138" max="5138" width="13.5703125" style="186" customWidth="1"/>
    <col min="5139" max="5139" width="2.5703125" style="186" customWidth="1"/>
    <col min="5140" max="5140" width="11.5703125" style="186" customWidth="1"/>
    <col min="5141" max="5141" width="13" style="186" customWidth="1"/>
    <col min="5142" max="5142" width="1.42578125" style="186" customWidth="1"/>
    <col min="5143" max="5143" width="10.5703125" style="186" customWidth="1"/>
    <col min="5144" max="5375" width="11" style="186"/>
    <col min="5376" max="5376" width="1.5703125" style="186" customWidth="1"/>
    <col min="5377" max="5377" width="8.5703125" style="186" customWidth="1"/>
    <col min="5378" max="5378" width="28.7109375" style="186" customWidth="1"/>
    <col min="5379" max="5379" width="26.5703125" style="186" customWidth="1"/>
    <col min="5380" max="5380" width="7.7109375" style="186" customWidth="1"/>
    <col min="5381" max="5381" width="19.42578125" style="186" customWidth="1"/>
    <col min="5382" max="5382" width="44.28515625" style="186" customWidth="1"/>
    <col min="5383" max="5383" width="17" style="186" customWidth="1"/>
    <col min="5384" max="5384" width="15.5703125" style="186" customWidth="1"/>
    <col min="5385" max="5385" width="14.140625" style="186" customWidth="1"/>
    <col min="5386" max="5386" width="1.7109375" style="186" customWidth="1"/>
    <col min="5387" max="5387" width="13.7109375" style="186" customWidth="1"/>
    <col min="5388" max="5388" width="13.85546875" style="186" bestFit="1" customWidth="1"/>
    <col min="5389" max="5389" width="2.5703125" style="186" customWidth="1"/>
    <col min="5390" max="5390" width="12.42578125" style="186" customWidth="1"/>
    <col min="5391" max="5391" width="13.5703125" style="186" customWidth="1"/>
    <col min="5392" max="5392" width="2.5703125" style="186" customWidth="1"/>
    <col min="5393" max="5393" width="12.42578125" style="186" customWidth="1"/>
    <col min="5394" max="5394" width="13.5703125" style="186" customWidth="1"/>
    <col min="5395" max="5395" width="2.5703125" style="186" customWidth="1"/>
    <col min="5396" max="5396" width="11.5703125" style="186" customWidth="1"/>
    <col min="5397" max="5397" width="13" style="186" customWidth="1"/>
    <col min="5398" max="5398" width="1.42578125" style="186" customWidth="1"/>
    <col min="5399" max="5399" width="10.5703125" style="186" customWidth="1"/>
    <col min="5400" max="5631" width="11" style="186"/>
    <col min="5632" max="5632" width="1.5703125" style="186" customWidth="1"/>
    <col min="5633" max="5633" width="8.5703125" style="186" customWidth="1"/>
    <col min="5634" max="5634" width="28.7109375" style="186" customWidth="1"/>
    <col min="5635" max="5635" width="26.5703125" style="186" customWidth="1"/>
    <col min="5636" max="5636" width="7.7109375" style="186" customWidth="1"/>
    <col min="5637" max="5637" width="19.42578125" style="186" customWidth="1"/>
    <col min="5638" max="5638" width="44.28515625" style="186" customWidth="1"/>
    <col min="5639" max="5639" width="17" style="186" customWidth="1"/>
    <col min="5640" max="5640" width="15.5703125" style="186" customWidth="1"/>
    <col min="5641" max="5641" width="14.140625" style="186" customWidth="1"/>
    <col min="5642" max="5642" width="1.7109375" style="186" customWidth="1"/>
    <col min="5643" max="5643" width="13.7109375" style="186" customWidth="1"/>
    <col min="5644" max="5644" width="13.85546875" style="186" bestFit="1" customWidth="1"/>
    <col min="5645" max="5645" width="2.5703125" style="186" customWidth="1"/>
    <col min="5646" max="5646" width="12.42578125" style="186" customWidth="1"/>
    <col min="5647" max="5647" width="13.5703125" style="186" customWidth="1"/>
    <col min="5648" max="5648" width="2.5703125" style="186" customWidth="1"/>
    <col min="5649" max="5649" width="12.42578125" style="186" customWidth="1"/>
    <col min="5650" max="5650" width="13.5703125" style="186" customWidth="1"/>
    <col min="5651" max="5651" width="2.5703125" style="186" customWidth="1"/>
    <col min="5652" max="5652" width="11.5703125" style="186" customWidth="1"/>
    <col min="5653" max="5653" width="13" style="186" customWidth="1"/>
    <col min="5654" max="5654" width="1.42578125" style="186" customWidth="1"/>
    <col min="5655" max="5655" width="10.5703125" style="186" customWidth="1"/>
    <col min="5656" max="5887" width="11" style="186"/>
    <col min="5888" max="5888" width="1.5703125" style="186" customWidth="1"/>
    <col min="5889" max="5889" width="8.5703125" style="186" customWidth="1"/>
    <col min="5890" max="5890" width="28.7109375" style="186" customWidth="1"/>
    <col min="5891" max="5891" width="26.5703125" style="186" customWidth="1"/>
    <col min="5892" max="5892" width="7.7109375" style="186" customWidth="1"/>
    <col min="5893" max="5893" width="19.42578125" style="186" customWidth="1"/>
    <col min="5894" max="5894" width="44.28515625" style="186" customWidth="1"/>
    <col min="5895" max="5895" width="17" style="186" customWidth="1"/>
    <col min="5896" max="5896" width="15.5703125" style="186" customWidth="1"/>
    <col min="5897" max="5897" width="14.140625" style="186" customWidth="1"/>
    <col min="5898" max="5898" width="1.7109375" style="186" customWidth="1"/>
    <col min="5899" max="5899" width="13.7109375" style="186" customWidth="1"/>
    <col min="5900" max="5900" width="13.85546875" style="186" bestFit="1" customWidth="1"/>
    <col min="5901" max="5901" width="2.5703125" style="186" customWidth="1"/>
    <col min="5902" max="5902" width="12.42578125" style="186" customWidth="1"/>
    <col min="5903" max="5903" width="13.5703125" style="186" customWidth="1"/>
    <col min="5904" max="5904" width="2.5703125" style="186" customWidth="1"/>
    <col min="5905" max="5905" width="12.42578125" style="186" customWidth="1"/>
    <col min="5906" max="5906" width="13.5703125" style="186" customWidth="1"/>
    <col min="5907" max="5907" width="2.5703125" style="186" customWidth="1"/>
    <col min="5908" max="5908" width="11.5703125" style="186" customWidth="1"/>
    <col min="5909" max="5909" width="13" style="186" customWidth="1"/>
    <col min="5910" max="5910" width="1.42578125" style="186" customWidth="1"/>
    <col min="5911" max="5911" width="10.5703125" style="186" customWidth="1"/>
    <col min="5912" max="6143" width="11" style="186"/>
    <col min="6144" max="6144" width="1.5703125" style="186" customWidth="1"/>
    <col min="6145" max="6145" width="8.5703125" style="186" customWidth="1"/>
    <col min="6146" max="6146" width="28.7109375" style="186" customWidth="1"/>
    <col min="6147" max="6147" width="26.5703125" style="186" customWidth="1"/>
    <col min="6148" max="6148" width="7.7109375" style="186" customWidth="1"/>
    <col min="6149" max="6149" width="19.42578125" style="186" customWidth="1"/>
    <col min="6150" max="6150" width="44.28515625" style="186" customWidth="1"/>
    <col min="6151" max="6151" width="17" style="186" customWidth="1"/>
    <col min="6152" max="6152" width="15.5703125" style="186" customWidth="1"/>
    <col min="6153" max="6153" width="14.140625" style="186" customWidth="1"/>
    <col min="6154" max="6154" width="1.7109375" style="186" customWidth="1"/>
    <col min="6155" max="6155" width="13.7109375" style="186" customWidth="1"/>
    <col min="6156" max="6156" width="13.85546875" style="186" bestFit="1" customWidth="1"/>
    <col min="6157" max="6157" width="2.5703125" style="186" customWidth="1"/>
    <col min="6158" max="6158" width="12.42578125" style="186" customWidth="1"/>
    <col min="6159" max="6159" width="13.5703125" style="186" customWidth="1"/>
    <col min="6160" max="6160" width="2.5703125" style="186" customWidth="1"/>
    <col min="6161" max="6161" width="12.42578125" style="186" customWidth="1"/>
    <col min="6162" max="6162" width="13.5703125" style="186" customWidth="1"/>
    <col min="6163" max="6163" width="2.5703125" style="186" customWidth="1"/>
    <col min="6164" max="6164" width="11.5703125" style="186" customWidth="1"/>
    <col min="6165" max="6165" width="13" style="186" customWidth="1"/>
    <col min="6166" max="6166" width="1.42578125" style="186" customWidth="1"/>
    <col min="6167" max="6167" width="10.5703125" style="186" customWidth="1"/>
    <col min="6168" max="6399" width="11" style="186"/>
    <col min="6400" max="6400" width="1.5703125" style="186" customWidth="1"/>
    <col min="6401" max="6401" width="8.5703125" style="186" customWidth="1"/>
    <col min="6402" max="6402" width="28.7109375" style="186" customWidth="1"/>
    <col min="6403" max="6403" width="26.5703125" style="186" customWidth="1"/>
    <col min="6404" max="6404" width="7.7109375" style="186" customWidth="1"/>
    <col min="6405" max="6405" width="19.42578125" style="186" customWidth="1"/>
    <col min="6406" max="6406" width="44.28515625" style="186" customWidth="1"/>
    <col min="6407" max="6407" width="17" style="186" customWidth="1"/>
    <col min="6408" max="6408" width="15.5703125" style="186" customWidth="1"/>
    <col min="6409" max="6409" width="14.140625" style="186" customWidth="1"/>
    <col min="6410" max="6410" width="1.7109375" style="186" customWidth="1"/>
    <col min="6411" max="6411" width="13.7109375" style="186" customWidth="1"/>
    <col min="6412" max="6412" width="13.85546875" style="186" bestFit="1" customWidth="1"/>
    <col min="6413" max="6413" width="2.5703125" style="186" customWidth="1"/>
    <col min="6414" max="6414" width="12.42578125" style="186" customWidth="1"/>
    <col min="6415" max="6415" width="13.5703125" style="186" customWidth="1"/>
    <col min="6416" max="6416" width="2.5703125" style="186" customWidth="1"/>
    <col min="6417" max="6417" width="12.42578125" style="186" customWidth="1"/>
    <col min="6418" max="6418" width="13.5703125" style="186" customWidth="1"/>
    <col min="6419" max="6419" width="2.5703125" style="186" customWidth="1"/>
    <col min="6420" max="6420" width="11.5703125" style="186" customWidth="1"/>
    <col min="6421" max="6421" width="13" style="186" customWidth="1"/>
    <col min="6422" max="6422" width="1.42578125" style="186" customWidth="1"/>
    <col min="6423" max="6423" width="10.5703125" style="186" customWidth="1"/>
    <col min="6424" max="6655" width="11" style="186"/>
    <col min="6656" max="6656" width="1.5703125" style="186" customWidth="1"/>
    <col min="6657" max="6657" width="8.5703125" style="186" customWidth="1"/>
    <col min="6658" max="6658" width="28.7109375" style="186" customWidth="1"/>
    <col min="6659" max="6659" width="26.5703125" style="186" customWidth="1"/>
    <col min="6660" max="6660" width="7.7109375" style="186" customWidth="1"/>
    <col min="6661" max="6661" width="19.42578125" style="186" customWidth="1"/>
    <col min="6662" max="6662" width="44.28515625" style="186" customWidth="1"/>
    <col min="6663" max="6663" width="17" style="186" customWidth="1"/>
    <col min="6664" max="6664" width="15.5703125" style="186" customWidth="1"/>
    <col min="6665" max="6665" width="14.140625" style="186" customWidth="1"/>
    <col min="6666" max="6666" width="1.7109375" style="186" customWidth="1"/>
    <col min="6667" max="6667" width="13.7109375" style="186" customWidth="1"/>
    <col min="6668" max="6668" width="13.85546875" style="186" bestFit="1" customWidth="1"/>
    <col min="6669" max="6669" width="2.5703125" style="186" customWidth="1"/>
    <col min="6670" max="6670" width="12.42578125" style="186" customWidth="1"/>
    <col min="6671" max="6671" width="13.5703125" style="186" customWidth="1"/>
    <col min="6672" max="6672" width="2.5703125" style="186" customWidth="1"/>
    <col min="6673" max="6673" width="12.42578125" style="186" customWidth="1"/>
    <col min="6674" max="6674" width="13.5703125" style="186" customWidth="1"/>
    <col min="6675" max="6675" width="2.5703125" style="186" customWidth="1"/>
    <col min="6676" max="6676" width="11.5703125" style="186" customWidth="1"/>
    <col min="6677" max="6677" width="13" style="186" customWidth="1"/>
    <col min="6678" max="6678" width="1.42578125" style="186" customWidth="1"/>
    <col min="6679" max="6679" width="10.5703125" style="186" customWidth="1"/>
    <col min="6680" max="6911" width="11" style="186"/>
    <col min="6912" max="6912" width="1.5703125" style="186" customWidth="1"/>
    <col min="6913" max="6913" width="8.5703125" style="186" customWidth="1"/>
    <col min="6914" max="6914" width="28.7109375" style="186" customWidth="1"/>
    <col min="6915" max="6915" width="26.5703125" style="186" customWidth="1"/>
    <col min="6916" max="6916" width="7.7109375" style="186" customWidth="1"/>
    <col min="6917" max="6917" width="19.42578125" style="186" customWidth="1"/>
    <col min="6918" max="6918" width="44.28515625" style="186" customWidth="1"/>
    <col min="6919" max="6919" width="17" style="186" customWidth="1"/>
    <col min="6920" max="6920" width="15.5703125" style="186" customWidth="1"/>
    <col min="6921" max="6921" width="14.140625" style="186" customWidth="1"/>
    <col min="6922" max="6922" width="1.7109375" style="186" customWidth="1"/>
    <col min="6923" max="6923" width="13.7109375" style="186" customWidth="1"/>
    <col min="6924" max="6924" width="13.85546875" style="186" bestFit="1" customWidth="1"/>
    <col min="6925" max="6925" width="2.5703125" style="186" customWidth="1"/>
    <col min="6926" max="6926" width="12.42578125" style="186" customWidth="1"/>
    <col min="6927" max="6927" width="13.5703125" style="186" customWidth="1"/>
    <col min="6928" max="6928" width="2.5703125" style="186" customWidth="1"/>
    <col min="6929" max="6929" width="12.42578125" style="186" customWidth="1"/>
    <col min="6930" max="6930" width="13.5703125" style="186" customWidth="1"/>
    <col min="6931" max="6931" width="2.5703125" style="186" customWidth="1"/>
    <col min="6932" max="6932" width="11.5703125" style="186" customWidth="1"/>
    <col min="6933" max="6933" width="13" style="186" customWidth="1"/>
    <col min="6934" max="6934" width="1.42578125" style="186" customWidth="1"/>
    <col min="6935" max="6935" width="10.5703125" style="186" customWidth="1"/>
    <col min="6936" max="7167" width="11" style="186"/>
    <col min="7168" max="7168" width="1.5703125" style="186" customWidth="1"/>
    <col min="7169" max="7169" width="8.5703125" style="186" customWidth="1"/>
    <col min="7170" max="7170" width="28.7109375" style="186" customWidth="1"/>
    <col min="7171" max="7171" width="26.5703125" style="186" customWidth="1"/>
    <col min="7172" max="7172" width="7.7109375" style="186" customWidth="1"/>
    <col min="7173" max="7173" width="19.42578125" style="186" customWidth="1"/>
    <col min="7174" max="7174" width="44.28515625" style="186" customWidth="1"/>
    <col min="7175" max="7175" width="17" style="186" customWidth="1"/>
    <col min="7176" max="7176" width="15.5703125" style="186" customWidth="1"/>
    <col min="7177" max="7177" width="14.140625" style="186" customWidth="1"/>
    <col min="7178" max="7178" width="1.7109375" style="186" customWidth="1"/>
    <col min="7179" max="7179" width="13.7109375" style="186" customWidth="1"/>
    <col min="7180" max="7180" width="13.85546875" style="186" bestFit="1" customWidth="1"/>
    <col min="7181" max="7181" width="2.5703125" style="186" customWidth="1"/>
    <col min="7182" max="7182" width="12.42578125" style="186" customWidth="1"/>
    <col min="7183" max="7183" width="13.5703125" style="186" customWidth="1"/>
    <col min="7184" max="7184" width="2.5703125" style="186" customWidth="1"/>
    <col min="7185" max="7185" width="12.42578125" style="186" customWidth="1"/>
    <col min="7186" max="7186" width="13.5703125" style="186" customWidth="1"/>
    <col min="7187" max="7187" width="2.5703125" style="186" customWidth="1"/>
    <col min="7188" max="7188" width="11.5703125" style="186" customWidth="1"/>
    <col min="7189" max="7189" width="13" style="186" customWidth="1"/>
    <col min="7190" max="7190" width="1.42578125" style="186" customWidth="1"/>
    <col min="7191" max="7191" width="10.5703125" style="186" customWidth="1"/>
    <col min="7192" max="7423" width="11" style="186"/>
    <col min="7424" max="7424" width="1.5703125" style="186" customWidth="1"/>
    <col min="7425" max="7425" width="8.5703125" style="186" customWidth="1"/>
    <col min="7426" max="7426" width="28.7109375" style="186" customWidth="1"/>
    <col min="7427" max="7427" width="26.5703125" style="186" customWidth="1"/>
    <col min="7428" max="7428" width="7.7109375" style="186" customWidth="1"/>
    <col min="7429" max="7429" width="19.42578125" style="186" customWidth="1"/>
    <col min="7430" max="7430" width="44.28515625" style="186" customWidth="1"/>
    <col min="7431" max="7431" width="17" style="186" customWidth="1"/>
    <col min="7432" max="7432" width="15.5703125" style="186" customWidth="1"/>
    <col min="7433" max="7433" width="14.140625" style="186" customWidth="1"/>
    <col min="7434" max="7434" width="1.7109375" style="186" customWidth="1"/>
    <col min="7435" max="7435" width="13.7109375" style="186" customWidth="1"/>
    <col min="7436" max="7436" width="13.85546875" style="186" bestFit="1" customWidth="1"/>
    <col min="7437" max="7437" width="2.5703125" style="186" customWidth="1"/>
    <col min="7438" max="7438" width="12.42578125" style="186" customWidth="1"/>
    <col min="7439" max="7439" width="13.5703125" style="186" customWidth="1"/>
    <col min="7440" max="7440" width="2.5703125" style="186" customWidth="1"/>
    <col min="7441" max="7441" width="12.42578125" style="186" customWidth="1"/>
    <col min="7442" max="7442" width="13.5703125" style="186" customWidth="1"/>
    <col min="7443" max="7443" width="2.5703125" style="186" customWidth="1"/>
    <col min="7444" max="7444" width="11.5703125" style="186" customWidth="1"/>
    <col min="7445" max="7445" width="13" style="186" customWidth="1"/>
    <col min="7446" max="7446" width="1.42578125" style="186" customWidth="1"/>
    <col min="7447" max="7447" width="10.5703125" style="186" customWidth="1"/>
    <col min="7448" max="7679" width="11" style="186"/>
    <col min="7680" max="7680" width="1.5703125" style="186" customWidth="1"/>
    <col min="7681" max="7681" width="8.5703125" style="186" customWidth="1"/>
    <col min="7682" max="7682" width="28.7109375" style="186" customWidth="1"/>
    <col min="7683" max="7683" width="26.5703125" style="186" customWidth="1"/>
    <col min="7684" max="7684" width="7.7109375" style="186" customWidth="1"/>
    <col min="7685" max="7685" width="19.42578125" style="186" customWidth="1"/>
    <col min="7686" max="7686" width="44.28515625" style="186" customWidth="1"/>
    <col min="7687" max="7687" width="17" style="186" customWidth="1"/>
    <col min="7688" max="7688" width="15.5703125" style="186" customWidth="1"/>
    <col min="7689" max="7689" width="14.140625" style="186" customWidth="1"/>
    <col min="7690" max="7690" width="1.7109375" style="186" customWidth="1"/>
    <col min="7691" max="7691" width="13.7109375" style="186" customWidth="1"/>
    <col min="7692" max="7692" width="13.85546875" style="186" bestFit="1" customWidth="1"/>
    <col min="7693" max="7693" width="2.5703125" style="186" customWidth="1"/>
    <col min="7694" max="7694" width="12.42578125" style="186" customWidth="1"/>
    <col min="7695" max="7695" width="13.5703125" style="186" customWidth="1"/>
    <col min="7696" max="7696" width="2.5703125" style="186" customWidth="1"/>
    <col min="7697" max="7697" width="12.42578125" style="186" customWidth="1"/>
    <col min="7698" max="7698" width="13.5703125" style="186" customWidth="1"/>
    <col min="7699" max="7699" width="2.5703125" style="186" customWidth="1"/>
    <col min="7700" max="7700" width="11.5703125" style="186" customWidth="1"/>
    <col min="7701" max="7701" width="13" style="186" customWidth="1"/>
    <col min="7702" max="7702" width="1.42578125" style="186" customWidth="1"/>
    <col min="7703" max="7703" width="10.5703125" style="186" customWidth="1"/>
    <col min="7704" max="7935" width="11" style="186"/>
    <col min="7936" max="7936" width="1.5703125" style="186" customWidth="1"/>
    <col min="7937" max="7937" width="8.5703125" style="186" customWidth="1"/>
    <col min="7938" max="7938" width="28.7109375" style="186" customWidth="1"/>
    <col min="7939" max="7939" width="26.5703125" style="186" customWidth="1"/>
    <col min="7940" max="7940" width="7.7109375" style="186" customWidth="1"/>
    <col min="7941" max="7941" width="19.42578125" style="186" customWidth="1"/>
    <col min="7942" max="7942" width="44.28515625" style="186" customWidth="1"/>
    <col min="7943" max="7943" width="17" style="186" customWidth="1"/>
    <col min="7944" max="7944" width="15.5703125" style="186" customWidth="1"/>
    <col min="7945" max="7945" width="14.140625" style="186" customWidth="1"/>
    <col min="7946" max="7946" width="1.7109375" style="186" customWidth="1"/>
    <col min="7947" max="7947" width="13.7109375" style="186" customWidth="1"/>
    <col min="7948" max="7948" width="13.85546875" style="186" bestFit="1" customWidth="1"/>
    <col min="7949" max="7949" width="2.5703125" style="186" customWidth="1"/>
    <col min="7950" max="7950" width="12.42578125" style="186" customWidth="1"/>
    <col min="7951" max="7951" width="13.5703125" style="186" customWidth="1"/>
    <col min="7952" max="7952" width="2.5703125" style="186" customWidth="1"/>
    <col min="7953" max="7953" width="12.42578125" style="186" customWidth="1"/>
    <col min="7954" max="7954" width="13.5703125" style="186" customWidth="1"/>
    <col min="7955" max="7955" width="2.5703125" style="186" customWidth="1"/>
    <col min="7956" max="7956" width="11.5703125" style="186" customWidth="1"/>
    <col min="7957" max="7957" width="13" style="186" customWidth="1"/>
    <col min="7958" max="7958" width="1.42578125" style="186" customWidth="1"/>
    <col min="7959" max="7959" width="10.5703125" style="186" customWidth="1"/>
    <col min="7960" max="8191" width="11" style="186"/>
    <col min="8192" max="8192" width="1.5703125" style="186" customWidth="1"/>
    <col min="8193" max="8193" width="8.5703125" style="186" customWidth="1"/>
    <col min="8194" max="8194" width="28.7109375" style="186" customWidth="1"/>
    <col min="8195" max="8195" width="26.5703125" style="186" customWidth="1"/>
    <col min="8196" max="8196" width="7.7109375" style="186" customWidth="1"/>
    <col min="8197" max="8197" width="19.42578125" style="186" customWidth="1"/>
    <col min="8198" max="8198" width="44.28515625" style="186" customWidth="1"/>
    <col min="8199" max="8199" width="17" style="186" customWidth="1"/>
    <col min="8200" max="8200" width="15.5703125" style="186" customWidth="1"/>
    <col min="8201" max="8201" width="14.140625" style="186" customWidth="1"/>
    <col min="8202" max="8202" width="1.7109375" style="186" customWidth="1"/>
    <col min="8203" max="8203" width="13.7109375" style="186" customWidth="1"/>
    <col min="8204" max="8204" width="13.85546875" style="186" bestFit="1" customWidth="1"/>
    <col min="8205" max="8205" width="2.5703125" style="186" customWidth="1"/>
    <col min="8206" max="8206" width="12.42578125" style="186" customWidth="1"/>
    <col min="8207" max="8207" width="13.5703125" style="186" customWidth="1"/>
    <col min="8208" max="8208" width="2.5703125" style="186" customWidth="1"/>
    <col min="8209" max="8209" width="12.42578125" style="186" customWidth="1"/>
    <col min="8210" max="8210" width="13.5703125" style="186" customWidth="1"/>
    <col min="8211" max="8211" width="2.5703125" style="186" customWidth="1"/>
    <col min="8212" max="8212" width="11.5703125" style="186" customWidth="1"/>
    <col min="8213" max="8213" width="13" style="186" customWidth="1"/>
    <col min="8214" max="8214" width="1.42578125" style="186" customWidth="1"/>
    <col min="8215" max="8215" width="10.5703125" style="186" customWidth="1"/>
    <col min="8216" max="8447" width="11" style="186"/>
    <col min="8448" max="8448" width="1.5703125" style="186" customWidth="1"/>
    <col min="8449" max="8449" width="8.5703125" style="186" customWidth="1"/>
    <col min="8450" max="8450" width="28.7109375" style="186" customWidth="1"/>
    <col min="8451" max="8451" width="26.5703125" style="186" customWidth="1"/>
    <col min="8452" max="8452" width="7.7109375" style="186" customWidth="1"/>
    <col min="8453" max="8453" width="19.42578125" style="186" customWidth="1"/>
    <col min="8454" max="8454" width="44.28515625" style="186" customWidth="1"/>
    <col min="8455" max="8455" width="17" style="186" customWidth="1"/>
    <col min="8456" max="8456" width="15.5703125" style="186" customWidth="1"/>
    <col min="8457" max="8457" width="14.140625" style="186" customWidth="1"/>
    <col min="8458" max="8458" width="1.7109375" style="186" customWidth="1"/>
    <col min="8459" max="8459" width="13.7109375" style="186" customWidth="1"/>
    <col min="8460" max="8460" width="13.85546875" style="186" bestFit="1" customWidth="1"/>
    <col min="8461" max="8461" width="2.5703125" style="186" customWidth="1"/>
    <col min="8462" max="8462" width="12.42578125" style="186" customWidth="1"/>
    <col min="8463" max="8463" width="13.5703125" style="186" customWidth="1"/>
    <col min="8464" max="8464" width="2.5703125" style="186" customWidth="1"/>
    <col min="8465" max="8465" width="12.42578125" style="186" customWidth="1"/>
    <col min="8466" max="8466" width="13.5703125" style="186" customWidth="1"/>
    <col min="8467" max="8467" width="2.5703125" style="186" customWidth="1"/>
    <col min="8468" max="8468" width="11.5703125" style="186" customWidth="1"/>
    <col min="8469" max="8469" width="13" style="186" customWidth="1"/>
    <col min="8470" max="8470" width="1.42578125" style="186" customWidth="1"/>
    <col min="8471" max="8471" width="10.5703125" style="186" customWidth="1"/>
    <col min="8472" max="8703" width="11" style="186"/>
    <col min="8704" max="8704" width="1.5703125" style="186" customWidth="1"/>
    <col min="8705" max="8705" width="8.5703125" style="186" customWidth="1"/>
    <col min="8706" max="8706" width="28.7109375" style="186" customWidth="1"/>
    <col min="8707" max="8707" width="26.5703125" style="186" customWidth="1"/>
    <col min="8708" max="8708" width="7.7109375" style="186" customWidth="1"/>
    <col min="8709" max="8709" width="19.42578125" style="186" customWidth="1"/>
    <col min="8710" max="8710" width="44.28515625" style="186" customWidth="1"/>
    <col min="8711" max="8711" width="17" style="186" customWidth="1"/>
    <col min="8712" max="8712" width="15.5703125" style="186" customWidth="1"/>
    <col min="8713" max="8713" width="14.140625" style="186" customWidth="1"/>
    <col min="8714" max="8714" width="1.7109375" style="186" customWidth="1"/>
    <col min="8715" max="8715" width="13.7109375" style="186" customWidth="1"/>
    <col min="8716" max="8716" width="13.85546875" style="186" bestFit="1" customWidth="1"/>
    <col min="8717" max="8717" width="2.5703125" style="186" customWidth="1"/>
    <col min="8718" max="8718" width="12.42578125" style="186" customWidth="1"/>
    <col min="8719" max="8719" width="13.5703125" style="186" customWidth="1"/>
    <col min="8720" max="8720" width="2.5703125" style="186" customWidth="1"/>
    <col min="8721" max="8721" width="12.42578125" style="186" customWidth="1"/>
    <col min="8722" max="8722" width="13.5703125" style="186" customWidth="1"/>
    <col min="8723" max="8723" width="2.5703125" style="186" customWidth="1"/>
    <col min="8724" max="8724" width="11.5703125" style="186" customWidth="1"/>
    <col min="8725" max="8725" width="13" style="186" customWidth="1"/>
    <col min="8726" max="8726" width="1.42578125" style="186" customWidth="1"/>
    <col min="8727" max="8727" width="10.5703125" style="186" customWidth="1"/>
    <col min="8728" max="8959" width="11" style="186"/>
    <col min="8960" max="8960" width="1.5703125" style="186" customWidth="1"/>
    <col min="8961" max="8961" width="8.5703125" style="186" customWidth="1"/>
    <col min="8962" max="8962" width="28.7109375" style="186" customWidth="1"/>
    <col min="8963" max="8963" width="26.5703125" style="186" customWidth="1"/>
    <col min="8964" max="8964" width="7.7109375" style="186" customWidth="1"/>
    <col min="8965" max="8965" width="19.42578125" style="186" customWidth="1"/>
    <col min="8966" max="8966" width="44.28515625" style="186" customWidth="1"/>
    <col min="8967" max="8967" width="17" style="186" customWidth="1"/>
    <col min="8968" max="8968" width="15.5703125" style="186" customWidth="1"/>
    <col min="8969" max="8969" width="14.140625" style="186" customWidth="1"/>
    <col min="8970" max="8970" width="1.7109375" style="186" customWidth="1"/>
    <col min="8971" max="8971" width="13.7109375" style="186" customWidth="1"/>
    <col min="8972" max="8972" width="13.85546875" style="186" bestFit="1" customWidth="1"/>
    <col min="8973" max="8973" width="2.5703125" style="186" customWidth="1"/>
    <col min="8974" max="8974" width="12.42578125" style="186" customWidth="1"/>
    <col min="8975" max="8975" width="13.5703125" style="186" customWidth="1"/>
    <col min="8976" max="8976" width="2.5703125" style="186" customWidth="1"/>
    <col min="8977" max="8977" width="12.42578125" style="186" customWidth="1"/>
    <col min="8978" max="8978" width="13.5703125" style="186" customWidth="1"/>
    <col min="8979" max="8979" width="2.5703125" style="186" customWidth="1"/>
    <col min="8980" max="8980" width="11.5703125" style="186" customWidth="1"/>
    <col min="8981" max="8981" width="13" style="186" customWidth="1"/>
    <col min="8982" max="8982" width="1.42578125" style="186" customWidth="1"/>
    <col min="8983" max="8983" width="10.5703125" style="186" customWidth="1"/>
    <col min="8984" max="9215" width="11" style="186"/>
    <col min="9216" max="9216" width="1.5703125" style="186" customWidth="1"/>
    <col min="9217" max="9217" width="8.5703125" style="186" customWidth="1"/>
    <col min="9218" max="9218" width="28.7109375" style="186" customWidth="1"/>
    <col min="9219" max="9219" width="26.5703125" style="186" customWidth="1"/>
    <col min="9220" max="9220" width="7.7109375" style="186" customWidth="1"/>
    <col min="9221" max="9221" width="19.42578125" style="186" customWidth="1"/>
    <col min="9222" max="9222" width="44.28515625" style="186" customWidth="1"/>
    <col min="9223" max="9223" width="17" style="186" customWidth="1"/>
    <col min="9224" max="9224" width="15.5703125" style="186" customWidth="1"/>
    <col min="9225" max="9225" width="14.140625" style="186" customWidth="1"/>
    <col min="9226" max="9226" width="1.7109375" style="186" customWidth="1"/>
    <col min="9227" max="9227" width="13.7109375" style="186" customWidth="1"/>
    <col min="9228" max="9228" width="13.85546875" style="186" bestFit="1" customWidth="1"/>
    <col min="9229" max="9229" width="2.5703125" style="186" customWidth="1"/>
    <col min="9230" max="9230" width="12.42578125" style="186" customWidth="1"/>
    <col min="9231" max="9231" width="13.5703125" style="186" customWidth="1"/>
    <col min="9232" max="9232" width="2.5703125" style="186" customWidth="1"/>
    <col min="9233" max="9233" width="12.42578125" style="186" customWidth="1"/>
    <col min="9234" max="9234" width="13.5703125" style="186" customWidth="1"/>
    <col min="9235" max="9235" width="2.5703125" style="186" customWidth="1"/>
    <col min="9236" max="9236" width="11.5703125" style="186" customWidth="1"/>
    <col min="9237" max="9237" width="13" style="186" customWidth="1"/>
    <col min="9238" max="9238" width="1.42578125" style="186" customWidth="1"/>
    <col min="9239" max="9239" width="10.5703125" style="186" customWidth="1"/>
    <col min="9240" max="9471" width="11" style="186"/>
    <col min="9472" max="9472" width="1.5703125" style="186" customWidth="1"/>
    <col min="9473" max="9473" width="8.5703125" style="186" customWidth="1"/>
    <col min="9474" max="9474" width="28.7109375" style="186" customWidth="1"/>
    <col min="9475" max="9475" width="26.5703125" style="186" customWidth="1"/>
    <col min="9476" max="9476" width="7.7109375" style="186" customWidth="1"/>
    <col min="9477" max="9477" width="19.42578125" style="186" customWidth="1"/>
    <col min="9478" max="9478" width="44.28515625" style="186" customWidth="1"/>
    <col min="9479" max="9479" width="17" style="186" customWidth="1"/>
    <col min="9480" max="9480" width="15.5703125" style="186" customWidth="1"/>
    <col min="9481" max="9481" width="14.140625" style="186" customWidth="1"/>
    <col min="9482" max="9482" width="1.7109375" style="186" customWidth="1"/>
    <col min="9483" max="9483" width="13.7109375" style="186" customWidth="1"/>
    <col min="9484" max="9484" width="13.85546875" style="186" bestFit="1" customWidth="1"/>
    <col min="9485" max="9485" width="2.5703125" style="186" customWidth="1"/>
    <col min="9486" max="9486" width="12.42578125" style="186" customWidth="1"/>
    <col min="9487" max="9487" width="13.5703125" style="186" customWidth="1"/>
    <col min="9488" max="9488" width="2.5703125" style="186" customWidth="1"/>
    <col min="9489" max="9489" width="12.42578125" style="186" customWidth="1"/>
    <col min="9490" max="9490" width="13.5703125" style="186" customWidth="1"/>
    <col min="9491" max="9491" width="2.5703125" style="186" customWidth="1"/>
    <col min="9492" max="9492" width="11.5703125" style="186" customWidth="1"/>
    <col min="9493" max="9493" width="13" style="186" customWidth="1"/>
    <col min="9494" max="9494" width="1.42578125" style="186" customWidth="1"/>
    <col min="9495" max="9495" width="10.5703125" style="186" customWidth="1"/>
    <col min="9496" max="9727" width="11" style="186"/>
    <col min="9728" max="9728" width="1.5703125" style="186" customWidth="1"/>
    <col min="9729" max="9729" width="8.5703125" style="186" customWidth="1"/>
    <col min="9730" max="9730" width="28.7109375" style="186" customWidth="1"/>
    <col min="9731" max="9731" width="26.5703125" style="186" customWidth="1"/>
    <col min="9732" max="9732" width="7.7109375" style="186" customWidth="1"/>
    <col min="9733" max="9733" width="19.42578125" style="186" customWidth="1"/>
    <col min="9734" max="9734" width="44.28515625" style="186" customWidth="1"/>
    <col min="9735" max="9735" width="17" style="186" customWidth="1"/>
    <col min="9736" max="9736" width="15.5703125" style="186" customWidth="1"/>
    <col min="9737" max="9737" width="14.140625" style="186" customWidth="1"/>
    <col min="9738" max="9738" width="1.7109375" style="186" customWidth="1"/>
    <col min="9739" max="9739" width="13.7109375" style="186" customWidth="1"/>
    <col min="9740" max="9740" width="13.85546875" style="186" bestFit="1" customWidth="1"/>
    <col min="9741" max="9741" width="2.5703125" style="186" customWidth="1"/>
    <col min="9742" max="9742" width="12.42578125" style="186" customWidth="1"/>
    <col min="9743" max="9743" width="13.5703125" style="186" customWidth="1"/>
    <col min="9744" max="9744" width="2.5703125" style="186" customWidth="1"/>
    <col min="9745" max="9745" width="12.42578125" style="186" customWidth="1"/>
    <col min="9746" max="9746" width="13.5703125" style="186" customWidth="1"/>
    <col min="9747" max="9747" width="2.5703125" style="186" customWidth="1"/>
    <col min="9748" max="9748" width="11.5703125" style="186" customWidth="1"/>
    <col min="9749" max="9749" width="13" style="186" customWidth="1"/>
    <col min="9750" max="9750" width="1.42578125" style="186" customWidth="1"/>
    <col min="9751" max="9751" width="10.5703125" style="186" customWidth="1"/>
    <col min="9752" max="9983" width="11" style="186"/>
    <col min="9984" max="9984" width="1.5703125" style="186" customWidth="1"/>
    <col min="9985" max="9985" width="8.5703125" style="186" customWidth="1"/>
    <col min="9986" max="9986" width="28.7109375" style="186" customWidth="1"/>
    <col min="9987" max="9987" width="26.5703125" style="186" customWidth="1"/>
    <col min="9988" max="9988" width="7.7109375" style="186" customWidth="1"/>
    <col min="9989" max="9989" width="19.42578125" style="186" customWidth="1"/>
    <col min="9990" max="9990" width="44.28515625" style="186" customWidth="1"/>
    <col min="9991" max="9991" width="17" style="186" customWidth="1"/>
    <col min="9992" max="9992" width="15.5703125" style="186" customWidth="1"/>
    <col min="9993" max="9993" width="14.140625" style="186" customWidth="1"/>
    <col min="9994" max="9994" width="1.7109375" style="186" customWidth="1"/>
    <col min="9995" max="9995" width="13.7109375" style="186" customWidth="1"/>
    <col min="9996" max="9996" width="13.85546875" style="186" bestFit="1" customWidth="1"/>
    <col min="9997" max="9997" width="2.5703125" style="186" customWidth="1"/>
    <col min="9998" max="9998" width="12.42578125" style="186" customWidth="1"/>
    <col min="9999" max="9999" width="13.5703125" style="186" customWidth="1"/>
    <col min="10000" max="10000" width="2.5703125" style="186" customWidth="1"/>
    <col min="10001" max="10001" width="12.42578125" style="186" customWidth="1"/>
    <col min="10002" max="10002" width="13.5703125" style="186" customWidth="1"/>
    <col min="10003" max="10003" width="2.5703125" style="186" customWidth="1"/>
    <col min="10004" max="10004" width="11.5703125" style="186" customWidth="1"/>
    <col min="10005" max="10005" width="13" style="186" customWidth="1"/>
    <col min="10006" max="10006" width="1.42578125" style="186" customWidth="1"/>
    <col min="10007" max="10007" width="10.5703125" style="186" customWidth="1"/>
    <col min="10008" max="10239" width="11" style="186"/>
    <col min="10240" max="10240" width="1.5703125" style="186" customWidth="1"/>
    <col min="10241" max="10241" width="8.5703125" style="186" customWidth="1"/>
    <col min="10242" max="10242" width="28.7109375" style="186" customWidth="1"/>
    <col min="10243" max="10243" width="26.5703125" style="186" customWidth="1"/>
    <col min="10244" max="10244" width="7.7109375" style="186" customWidth="1"/>
    <col min="10245" max="10245" width="19.42578125" style="186" customWidth="1"/>
    <col min="10246" max="10246" width="44.28515625" style="186" customWidth="1"/>
    <col min="10247" max="10247" width="17" style="186" customWidth="1"/>
    <col min="10248" max="10248" width="15.5703125" style="186" customWidth="1"/>
    <col min="10249" max="10249" width="14.140625" style="186" customWidth="1"/>
    <col min="10250" max="10250" width="1.7109375" style="186" customWidth="1"/>
    <col min="10251" max="10251" width="13.7109375" style="186" customWidth="1"/>
    <col min="10252" max="10252" width="13.85546875" style="186" bestFit="1" customWidth="1"/>
    <col min="10253" max="10253" width="2.5703125" style="186" customWidth="1"/>
    <col min="10254" max="10254" width="12.42578125" style="186" customWidth="1"/>
    <col min="10255" max="10255" width="13.5703125" style="186" customWidth="1"/>
    <col min="10256" max="10256" width="2.5703125" style="186" customWidth="1"/>
    <col min="10257" max="10257" width="12.42578125" style="186" customWidth="1"/>
    <col min="10258" max="10258" width="13.5703125" style="186" customWidth="1"/>
    <col min="10259" max="10259" width="2.5703125" style="186" customWidth="1"/>
    <col min="10260" max="10260" width="11.5703125" style="186" customWidth="1"/>
    <col min="10261" max="10261" width="13" style="186" customWidth="1"/>
    <col min="10262" max="10262" width="1.42578125" style="186" customWidth="1"/>
    <col min="10263" max="10263" width="10.5703125" style="186" customWidth="1"/>
    <col min="10264" max="10495" width="11" style="186"/>
    <col min="10496" max="10496" width="1.5703125" style="186" customWidth="1"/>
    <col min="10497" max="10497" width="8.5703125" style="186" customWidth="1"/>
    <col min="10498" max="10498" width="28.7109375" style="186" customWidth="1"/>
    <col min="10499" max="10499" width="26.5703125" style="186" customWidth="1"/>
    <col min="10500" max="10500" width="7.7109375" style="186" customWidth="1"/>
    <col min="10501" max="10501" width="19.42578125" style="186" customWidth="1"/>
    <col min="10502" max="10502" width="44.28515625" style="186" customWidth="1"/>
    <col min="10503" max="10503" width="17" style="186" customWidth="1"/>
    <col min="10504" max="10504" width="15.5703125" style="186" customWidth="1"/>
    <col min="10505" max="10505" width="14.140625" style="186" customWidth="1"/>
    <col min="10506" max="10506" width="1.7109375" style="186" customWidth="1"/>
    <col min="10507" max="10507" width="13.7109375" style="186" customWidth="1"/>
    <col min="10508" max="10508" width="13.85546875" style="186" bestFit="1" customWidth="1"/>
    <col min="10509" max="10509" width="2.5703125" style="186" customWidth="1"/>
    <col min="10510" max="10510" width="12.42578125" style="186" customWidth="1"/>
    <col min="10511" max="10511" width="13.5703125" style="186" customWidth="1"/>
    <col min="10512" max="10512" width="2.5703125" style="186" customWidth="1"/>
    <col min="10513" max="10513" width="12.42578125" style="186" customWidth="1"/>
    <col min="10514" max="10514" width="13.5703125" style="186" customWidth="1"/>
    <col min="10515" max="10515" width="2.5703125" style="186" customWidth="1"/>
    <col min="10516" max="10516" width="11.5703125" style="186" customWidth="1"/>
    <col min="10517" max="10517" width="13" style="186" customWidth="1"/>
    <col min="10518" max="10518" width="1.42578125" style="186" customWidth="1"/>
    <col min="10519" max="10519" width="10.5703125" style="186" customWidth="1"/>
    <col min="10520" max="10751" width="11" style="186"/>
    <col min="10752" max="10752" width="1.5703125" style="186" customWidth="1"/>
    <col min="10753" max="10753" width="8.5703125" style="186" customWidth="1"/>
    <col min="10754" max="10754" width="28.7109375" style="186" customWidth="1"/>
    <col min="10755" max="10755" width="26.5703125" style="186" customWidth="1"/>
    <col min="10756" max="10756" width="7.7109375" style="186" customWidth="1"/>
    <col min="10757" max="10757" width="19.42578125" style="186" customWidth="1"/>
    <col min="10758" max="10758" width="44.28515625" style="186" customWidth="1"/>
    <col min="10759" max="10759" width="17" style="186" customWidth="1"/>
    <col min="10760" max="10760" width="15.5703125" style="186" customWidth="1"/>
    <col min="10761" max="10761" width="14.140625" style="186" customWidth="1"/>
    <col min="10762" max="10762" width="1.7109375" style="186" customWidth="1"/>
    <col min="10763" max="10763" width="13.7109375" style="186" customWidth="1"/>
    <col min="10764" max="10764" width="13.85546875" style="186" bestFit="1" customWidth="1"/>
    <col min="10765" max="10765" width="2.5703125" style="186" customWidth="1"/>
    <col min="10766" max="10766" width="12.42578125" style="186" customWidth="1"/>
    <col min="10767" max="10767" width="13.5703125" style="186" customWidth="1"/>
    <col min="10768" max="10768" width="2.5703125" style="186" customWidth="1"/>
    <col min="10769" max="10769" width="12.42578125" style="186" customWidth="1"/>
    <col min="10770" max="10770" width="13.5703125" style="186" customWidth="1"/>
    <col min="10771" max="10771" width="2.5703125" style="186" customWidth="1"/>
    <col min="10772" max="10772" width="11.5703125" style="186" customWidth="1"/>
    <col min="10773" max="10773" width="13" style="186" customWidth="1"/>
    <col min="10774" max="10774" width="1.42578125" style="186" customWidth="1"/>
    <col min="10775" max="10775" width="10.5703125" style="186" customWidth="1"/>
    <col min="10776" max="11007" width="11" style="186"/>
    <col min="11008" max="11008" width="1.5703125" style="186" customWidth="1"/>
    <col min="11009" max="11009" width="8.5703125" style="186" customWidth="1"/>
    <col min="11010" max="11010" width="28.7109375" style="186" customWidth="1"/>
    <col min="11011" max="11011" width="26.5703125" style="186" customWidth="1"/>
    <col min="11012" max="11012" width="7.7109375" style="186" customWidth="1"/>
    <col min="11013" max="11013" width="19.42578125" style="186" customWidth="1"/>
    <col min="11014" max="11014" width="44.28515625" style="186" customWidth="1"/>
    <col min="11015" max="11015" width="17" style="186" customWidth="1"/>
    <col min="11016" max="11016" width="15.5703125" style="186" customWidth="1"/>
    <col min="11017" max="11017" width="14.140625" style="186" customWidth="1"/>
    <col min="11018" max="11018" width="1.7109375" style="186" customWidth="1"/>
    <col min="11019" max="11019" width="13.7109375" style="186" customWidth="1"/>
    <col min="11020" max="11020" width="13.85546875" style="186" bestFit="1" customWidth="1"/>
    <col min="11021" max="11021" width="2.5703125" style="186" customWidth="1"/>
    <col min="11022" max="11022" width="12.42578125" style="186" customWidth="1"/>
    <col min="11023" max="11023" width="13.5703125" style="186" customWidth="1"/>
    <col min="11024" max="11024" width="2.5703125" style="186" customWidth="1"/>
    <col min="11025" max="11025" width="12.42578125" style="186" customWidth="1"/>
    <col min="11026" max="11026" width="13.5703125" style="186" customWidth="1"/>
    <col min="11027" max="11027" width="2.5703125" style="186" customWidth="1"/>
    <col min="11028" max="11028" width="11.5703125" style="186" customWidth="1"/>
    <col min="11029" max="11029" width="13" style="186" customWidth="1"/>
    <col min="11030" max="11030" width="1.42578125" style="186" customWidth="1"/>
    <col min="11031" max="11031" width="10.5703125" style="186" customWidth="1"/>
    <col min="11032" max="11263" width="11" style="186"/>
    <col min="11264" max="11264" width="1.5703125" style="186" customWidth="1"/>
    <col min="11265" max="11265" width="8.5703125" style="186" customWidth="1"/>
    <col min="11266" max="11266" width="28.7109375" style="186" customWidth="1"/>
    <col min="11267" max="11267" width="26.5703125" style="186" customWidth="1"/>
    <col min="11268" max="11268" width="7.7109375" style="186" customWidth="1"/>
    <col min="11269" max="11269" width="19.42578125" style="186" customWidth="1"/>
    <col min="11270" max="11270" width="44.28515625" style="186" customWidth="1"/>
    <col min="11271" max="11271" width="17" style="186" customWidth="1"/>
    <col min="11272" max="11272" width="15.5703125" style="186" customWidth="1"/>
    <col min="11273" max="11273" width="14.140625" style="186" customWidth="1"/>
    <col min="11274" max="11274" width="1.7109375" style="186" customWidth="1"/>
    <col min="11275" max="11275" width="13.7109375" style="186" customWidth="1"/>
    <col min="11276" max="11276" width="13.85546875" style="186" bestFit="1" customWidth="1"/>
    <col min="11277" max="11277" width="2.5703125" style="186" customWidth="1"/>
    <col min="11278" max="11278" width="12.42578125" style="186" customWidth="1"/>
    <col min="11279" max="11279" width="13.5703125" style="186" customWidth="1"/>
    <col min="11280" max="11280" width="2.5703125" style="186" customWidth="1"/>
    <col min="11281" max="11281" width="12.42578125" style="186" customWidth="1"/>
    <col min="11282" max="11282" width="13.5703125" style="186" customWidth="1"/>
    <col min="11283" max="11283" width="2.5703125" style="186" customWidth="1"/>
    <col min="11284" max="11284" width="11.5703125" style="186" customWidth="1"/>
    <col min="11285" max="11285" width="13" style="186" customWidth="1"/>
    <col min="11286" max="11286" width="1.42578125" style="186" customWidth="1"/>
    <col min="11287" max="11287" width="10.5703125" style="186" customWidth="1"/>
    <col min="11288" max="11519" width="11" style="186"/>
    <col min="11520" max="11520" width="1.5703125" style="186" customWidth="1"/>
    <col min="11521" max="11521" width="8.5703125" style="186" customWidth="1"/>
    <col min="11522" max="11522" width="28.7109375" style="186" customWidth="1"/>
    <col min="11523" max="11523" width="26.5703125" style="186" customWidth="1"/>
    <col min="11524" max="11524" width="7.7109375" style="186" customWidth="1"/>
    <col min="11525" max="11525" width="19.42578125" style="186" customWidth="1"/>
    <col min="11526" max="11526" width="44.28515625" style="186" customWidth="1"/>
    <col min="11527" max="11527" width="17" style="186" customWidth="1"/>
    <col min="11528" max="11528" width="15.5703125" style="186" customWidth="1"/>
    <col min="11529" max="11529" width="14.140625" style="186" customWidth="1"/>
    <col min="11530" max="11530" width="1.7109375" style="186" customWidth="1"/>
    <col min="11531" max="11531" width="13.7109375" style="186" customWidth="1"/>
    <col min="11532" max="11532" width="13.85546875" style="186" bestFit="1" customWidth="1"/>
    <col min="11533" max="11533" width="2.5703125" style="186" customWidth="1"/>
    <col min="11534" max="11534" width="12.42578125" style="186" customWidth="1"/>
    <col min="11535" max="11535" width="13.5703125" style="186" customWidth="1"/>
    <col min="11536" max="11536" width="2.5703125" style="186" customWidth="1"/>
    <col min="11537" max="11537" width="12.42578125" style="186" customWidth="1"/>
    <col min="11538" max="11538" width="13.5703125" style="186" customWidth="1"/>
    <col min="11539" max="11539" width="2.5703125" style="186" customWidth="1"/>
    <col min="11540" max="11540" width="11.5703125" style="186" customWidth="1"/>
    <col min="11541" max="11541" width="13" style="186" customWidth="1"/>
    <col min="11542" max="11542" width="1.42578125" style="186" customWidth="1"/>
    <col min="11543" max="11543" width="10.5703125" style="186" customWidth="1"/>
    <col min="11544" max="11775" width="11" style="186"/>
    <col min="11776" max="11776" width="1.5703125" style="186" customWidth="1"/>
    <col min="11777" max="11777" width="8.5703125" style="186" customWidth="1"/>
    <col min="11778" max="11778" width="28.7109375" style="186" customWidth="1"/>
    <col min="11779" max="11779" width="26.5703125" style="186" customWidth="1"/>
    <col min="11780" max="11780" width="7.7109375" style="186" customWidth="1"/>
    <col min="11781" max="11781" width="19.42578125" style="186" customWidth="1"/>
    <col min="11782" max="11782" width="44.28515625" style="186" customWidth="1"/>
    <col min="11783" max="11783" width="17" style="186" customWidth="1"/>
    <col min="11784" max="11784" width="15.5703125" style="186" customWidth="1"/>
    <col min="11785" max="11785" width="14.140625" style="186" customWidth="1"/>
    <col min="11786" max="11786" width="1.7109375" style="186" customWidth="1"/>
    <col min="11787" max="11787" width="13.7109375" style="186" customWidth="1"/>
    <col min="11788" max="11788" width="13.85546875" style="186" bestFit="1" customWidth="1"/>
    <col min="11789" max="11789" width="2.5703125" style="186" customWidth="1"/>
    <col min="11790" max="11790" width="12.42578125" style="186" customWidth="1"/>
    <col min="11791" max="11791" width="13.5703125" style="186" customWidth="1"/>
    <col min="11792" max="11792" width="2.5703125" style="186" customWidth="1"/>
    <col min="11793" max="11793" width="12.42578125" style="186" customWidth="1"/>
    <col min="11794" max="11794" width="13.5703125" style="186" customWidth="1"/>
    <col min="11795" max="11795" width="2.5703125" style="186" customWidth="1"/>
    <col min="11796" max="11796" width="11.5703125" style="186" customWidth="1"/>
    <col min="11797" max="11797" width="13" style="186" customWidth="1"/>
    <col min="11798" max="11798" width="1.42578125" style="186" customWidth="1"/>
    <col min="11799" max="11799" width="10.5703125" style="186" customWidth="1"/>
    <col min="11800" max="12031" width="11" style="186"/>
    <col min="12032" max="12032" width="1.5703125" style="186" customWidth="1"/>
    <col min="12033" max="12033" width="8.5703125" style="186" customWidth="1"/>
    <col min="12034" max="12034" width="28.7109375" style="186" customWidth="1"/>
    <col min="12035" max="12035" width="26.5703125" style="186" customWidth="1"/>
    <col min="12036" max="12036" width="7.7109375" style="186" customWidth="1"/>
    <col min="12037" max="12037" width="19.42578125" style="186" customWidth="1"/>
    <col min="12038" max="12038" width="44.28515625" style="186" customWidth="1"/>
    <col min="12039" max="12039" width="17" style="186" customWidth="1"/>
    <col min="12040" max="12040" width="15.5703125" style="186" customWidth="1"/>
    <col min="12041" max="12041" width="14.140625" style="186" customWidth="1"/>
    <col min="12042" max="12042" width="1.7109375" style="186" customWidth="1"/>
    <col min="12043" max="12043" width="13.7109375" style="186" customWidth="1"/>
    <col min="12044" max="12044" width="13.85546875" style="186" bestFit="1" customWidth="1"/>
    <col min="12045" max="12045" width="2.5703125" style="186" customWidth="1"/>
    <col min="12046" max="12046" width="12.42578125" style="186" customWidth="1"/>
    <col min="12047" max="12047" width="13.5703125" style="186" customWidth="1"/>
    <col min="12048" max="12048" width="2.5703125" style="186" customWidth="1"/>
    <col min="12049" max="12049" width="12.42578125" style="186" customWidth="1"/>
    <col min="12050" max="12050" width="13.5703125" style="186" customWidth="1"/>
    <col min="12051" max="12051" width="2.5703125" style="186" customWidth="1"/>
    <col min="12052" max="12052" width="11.5703125" style="186" customWidth="1"/>
    <col min="12053" max="12053" width="13" style="186" customWidth="1"/>
    <col min="12054" max="12054" width="1.42578125" style="186" customWidth="1"/>
    <col min="12055" max="12055" width="10.5703125" style="186" customWidth="1"/>
    <col min="12056" max="12287" width="11" style="186"/>
    <col min="12288" max="12288" width="1.5703125" style="186" customWidth="1"/>
    <col min="12289" max="12289" width="8.5703125" style="186" customWidth="1"/>
    <col min="12290" max="12290" width="28.7109375" style="186" customWidth="1"/>
    <col min="12291" max="12291" width="26.5703125" style="186" customWidth="1"/>
    <col min="12292" max="12292" width="7.7109375" style="186" customWidth="1"/>
    <col min="12293" max="12293" width="19.42578125" style="186" customWidth="1"/>
    <col min="12294" max="12294" width="44.28515625" style="186" customWidth="1"/>
    <col min="12295" max="12295" width="17" style="186" customWidth="1"/>
    <col min="12296" max="12296" width="15.5703125" style="186" customWidth="1"/>
    <col min="12297" max="12297" width="14.140625" style="186" customWidth="1"/>
    <col min="12298" max="12298" width="1.7109375" style="186" customWidth="1"/>
    <col min="12299" max="12299" width="13.7109375" style="186" customWidth="1"/>
    <col min="12300" max="12300" width="13.85546875" style="186" bestFit="1" customWidth="1"/>
    <col min="12301" max="12301" width="2.5703125" style="186" customWidth="1"/>
    <col min="12302" max="12302" width="12.42578125" style="186" customWidth="1"/>
    <col min="12303" max="12303" width="13.5703125" style="186" customWidth="1"/>
    <col min="12304" max="12304" width="2.5703125" style="186" customWidth="1"/>
    <col min="12305" max="12305" width="12.42578125" style="186" customWidth="1"/>
    <col min="12306" max="12306" width="13.5703125" style="186" customWidth="1"/>
    <col min="12307" max="12307" width="2.5703125" style="186" customWidth="1"/>
    <col min="12308" max="12308" width="11.5703125" style="186" customWidth="1"/>
    <col min="12309" max="12309" width="13" style="186" customWidth="1"/>
    <col min="12310" max="12310" width="1.42578125" style="186" customWidth="1"/>
    <col min="12311" max="12311" width="10.5703125" style="186" customWidth="1"/>
    <col min="12312" max="12543" width="11" style="186"/>
    <col min="12544" max="12544" width="1.5703125" style="186" customWidth="1"/>
    <col min="12545" max="12545" width="8.5703125" style="186" customWidth="1"/>
    <col min="12546" max="12546" width="28.7109375" style="186" customWidth="1"/>
    <col min="12547" max="12547" width="26.5703125" style="186" customWidth="1"/>
    <col min="12548" max="12548" width="7.7109375" style="186" customWidth="1"/>
    <col min="12549" max="12549" width="19.42578125" style="186" customWidth="1"/>
    <col min="12550" max="12550" width="44.28515625" style="186" customWidth="1"/>
    <col min="12551" max="12551" width="17" style="186" customWidth="1"/>
    <col min="12552" max="12552" width="15.5703125" style="186" customWidth="1"/>
    <col min="12553" max="12553" width="14.140625" style="186" customWidth="1"/>
    <col min="12554" max="12554" width="1.7109375" style="186" customWidth="1"/>
    <col min="12555" max="12555" width="13.7109375" style="186" customWidth="1"/>
    <col min="12556" max="12556" width="13.85546875" style="186" bestFit="1" customWidth="1"/>
    <col min="12557" max="12557" width="2.5703125" style="186" customWidth="1"/>
    <col min="12558" max="12558" width="12.42578125" style="186" customWidth="1"/>
    <col min="12559" max="12559" width="13.5703125" style="186" customWidth="1"/>
    <col min="12560" max="12560" width="2.5703125" style="186" customWidth="1"/>
    <col min="12561" max="12561" width="12.42578125" style="186" customWidth="1"/>
    <col min="12562" max="12562" width="13.5703125" style="186" customWidth="1"/>
    <col min="12563" max="12563" width="2.5703125" style="186" customWidth="1"/>
    <col min="12564" max="12564" width="11.5703125" style="186" customWidth="1"/>
    <col min="12565" max="12565" width="13" style="186" customWidth="1"/>
    <col min="12566" max="12566" width="1.42578125" style="186" customWidth="1"/>
    <col min="12567" max="12567" width="10.5703125" style="186" customWidth="1"/>
    <col min="12568" max="12799" width="11" style="186"/>
    <col min="12800" max="12800" width="1.5703125" style="186" customWidth="1"/>
    <col min="12801" max="12801" width="8.5703125" style="186" customWidth="1"/>
    <col min="12802" max="12802" width="28.7109375" style="186" customWidth="1"/>
    <col min="12803" max="12803" width="26.5703125" style="186" customWidth="1"/>
    <col min="12804" max="12804" width="7.7109375" style="186" customWidth="1"/>
    <col min="12805" max="12805" width="19.42578125" style="186" customWidth="1"/>
    <col min="12806" max="12806" width="44.28515625" style="186" customWidth="1"/>
    <col min="12807" max="12807" width="17" style="186" customWidth="1"/>
    <col min="12808" max="12808" width="15.5703125" style="186" customWidth="1"/>
    <col min="12809" max="12809" width="14.140625" style="186" customWidth="1"/>
    <col min="12810" max="12810" width="1.7109375" style="186" customWidth="1"/>
    <col min="12811" max="12811" width="13.7109375" style="186" customWidth="1"/>
    <col min="12812" max="12812" width="13.85546875" style="186" bestFit="1" customWidth="1"/>
    <col min="12813" max="12813" width="2.5703125" style="186" customWidth="1"/>
    <col min="12814" max="12814" width="12.42578125" style="186" customWidth="1"/>
    <col min="12815" max="12815" width="13.5703125" style="186" customWidth="1"/>
    <col min="12816" max="12816" width="2.5703125" style="186" customWidth="1"/>
    <col min="12817" max="12817" width="12.42578125" style="186" customWidth="1"/>
    <col min="12818" max="12818" width="13.5703125" style="186" customWidth="1"/>
    <col min="12819" max="12819" width="2.5703125" style="186" customWidth="1"/>
    <col min="12820" max="12820" width="11.5703125" style="186" customWidth="1"/>
    <col min="12821" max="12821" width="13" style="186" customWidth="1"/>
    <col min="12822" max="12822" width="1.42578125" style="186" customWidth="1"/>
    <col min="12823" max="12823" width="10.5703125" style="186" customWidth="1"/>
    <col min="12824" max="13055" width="11" style="186"/>
    <col min="13056" max="13056" width="1.5703125" style="186" customWidth="1"/>
    <col min="13057" max="13057" width="8.5703125" style="186" customWidth="1"/>
    <col min="13058" max="13058" width="28.7109375" style="186" customWidth="1"/>
    <col min="13059" max="13059" width="26.5703125" style="186" customWidth="1"/>
    <col min="13060" max="13060" width="7.7109375" style="186" customWidth="1"/>
    <col min="13061" max="13061" width="19.42578125" style="186" customWidth="1"/>
    <col min="13062" max="13062" width="44.28515625" style="186" customWidth="1"/>
    <col min="13063" max="13063" width="17" style="186" customWidth="1"/>
    <col min="13064" max="13064" width="15.5703125" style="186" customWidth="1"/>
    <col min="13065" max="13065" width="14.140625" style="186" customWidth="1"/>
    <col min="13066" max="13066" width="1.7109375" style="186" customWidth="1"/>
    <col min="13067" max="13067" width="13.7109375" style="186" customWidth="1"/>
    <col min="13068" max="13068" width="13.85546875" style="186" bestFit="1" customWidth="1"/>
    <col min="13069" max="13069" width="2.5703125" style="186" customWidth="1"/>
    <col min="13070" max="13070" width="12.42578125" style="186" customWidth="1"/>
    <col min="13071" max="13071" width="13.5703125" style="186" customWidth="1"/>
    <col min="13072" max="13072" width="2.5703125" style="186" customWidth="1"/>
    <col min="13073" max="13073" width="12.42578125" style="186" customWidth="1"/>
    <col min="13074" max="13074" width="13.5703125" style="186" customWidth="1"/>
    <col min="13075" max="13075" width="2.5703125" style="186" customWidth="1"/>
    <col min="13076" max="13076" width="11.5703125" style="186" customWidth="1"/>
    <col min="13077" max="13077" width="13" style="186" customWidth="1"/>
    <col min="13078" max="13078" width="1.42578125" style="186" customWidth="1"/>
    <col min="13079" max="13079" width="10.5703125" style="186" customWidth="1"/>
    <col min="13080" max="13311" width="11" style="186"/>
    <col min="13312" max="13312" width="1.5703125" style="186" customWidth="1"/>
    <col min="13313" max="13313" width="8.5703125" style="186" customWidth="1"/>
    <col min="13314" max="13314" width="28.7109375" style="186" customWidth="1"/>
    <col min="13315" max="13315" width="26.5703125" style="186" customWidth="1"/>
    <col min="13316" max="13316" width="7.7109375" style="186" customWidth="1"/>
    <col min="13317" max="13317" width="19.42578125" style="186" customWidth="1"/>
    <col min="13318" max="13318" width="44.28515625" style="186" customWidth="1"/>
    <col min="13319" max="13319" width="17" style="186" customWidth="1"/>
    <col min="13320" max="13320" width="15.5703125" style="186" customWidth="1"/>
    <col min="13321" max="13321" width="14.140625" style="186" customWidth="1"/>
    <col min="13322" max="13322" width="1.7109375" style="186" customWidth="1"/>
    <col min="13323" max="13323" width="13.7109375" style="186" customWidth="1"/>
    <col min="13324" max="13324" width="13.85546875" style="186" bestFit="1" customWidth="1"/>
    <col min="13325" max="13325" width="2.5703125" style="186" customWidth="1"/>
    <col min="13326" max="13326" width="12.42578125" style="186" customWidth="1"/>
    <col min="13327" max="13327" width="13.5703125" style="186" customWidth="1"/>
    <col min="13328" max="13328" width="2.5703125" style="186" customWidth="1"/>
    <col min="13329" max="13329" width="12.42578125" style="186" customWidth="1"/>
    <col min="13330" max="13330" width="13.5703125" style="186" customWidth="1"/>
    <col min="13331" max="13331" width="2.5703125" style="186" customWidth="1"/>
    <col min="13332" max="13332" width="11.5703125" style="186" customWidth="1"/>
    <col min="13333" max="13333" width="13" style="186" customWidth="1"/>
    <col min="13334" max="13334" width="1.42578125" style="186" customWidth="1"/>
    <col min="13335" max="13335" width="10.5703125" style="186" customWidth="1"/>
    <col min="13336" max="13567" width="11" style="186"/>
    <col min="13568" max="13568" width="1.5703125" style="186" customWidth="1"/>
    <col min="13569" max="13569" width="8.5703125" style="186" customWidth="1"/>
    <col min="13570" max="13570" width="28.7109375" style="186" customWidth="1"/>
    <col min="13571" max="13571" width="26.5703125" style="186" customWidth="1"/>
    <col min="13572" max="13572" width="7.7109375" style="186" customWidth="1"/>
    <col min="13573" max="13573" width="19.42578125" style="186" customWidth="1"/>
    <col min="13574" max="13574" width="44.28515625" style="186" customWidth="1"/>
    <col min="13575" max="13575" width="17" style="186" customWidth="1"/>
    <col min="13576" max="13576" width="15.5703125" style="186" customWidth="1"/>
    <col min="13577" max="13577" width="14.140625" style="186" customWidth="1"/>
    <col min="13578" max="13578" width="1.7109375" style="186" customWidth="1"/>
    <col min="13579" max="13579" width="13.7109375" style="186" customWidth="1"/>
    <col min="13580" max="13580" width="13.85546875" style="186" bestFit="1" customWidth="1"/>
    <col min="13581" max="13581" width="2.5703125" style="186" customWidth="1"/>
    <col min="13582" max="13582" width="12.42578125" style="186" customWidth="1"/>
    <col min="13583" max="13583" width="13.5703125" style="186" customWidth="1"/>
    <col min="13584" max="13584" width="2.5703125" style="186" customWidth="1"/>
    <col min="13585" max="13585" width="12.42578125" style="186" customWidth="1"/>
    <col min="13586" max="13586" width="13.5703125" style="186" customWidth="1"/>
    <col min="13587" max="13587" width="2.5703125" style="186" customWidth="1"/>
    <col min="13588" max="13588" width="11.5703125" style="186" customWidth="1"/>
    <col min="13589" max="13589" width="13" style="186" customWidth="1"/>
    <col min="13590" max="13590" width="1.42578125" style="186" customWidth="1"/>
    <col min="13591" max="13591" width="10.5703125" style="186" customWidth="1"/>
    <col min="13592" max="13823" width="11" style="186"/>
    <col min="13824" max="13824" width="1.5703125" style="186" customWidth="1"/>
    <col min="13825" max="13825" width="8.5703125" style="186" customWidth="1"/>
    <col min="13826" max="13826" width="28.7109375" style="186" customWidth="1"/>
    <col min="13827" max="13827" width="26.5703125" style="186" customWidth="1"/>
    <col min="13828" max="13828" width="7.7109375" style="186" customWidth="1"/>
    <col min="13829" max="13829" width="19.42578125" style="186" customWidth="1"/>
    <col min="13830" max="13830" width="44.28515625" style="186" customWidth="1"/>
    <col min="13831" max="13831" width="17" style="186" customWidth="1"/>
    <col min="13832" max="13832" width="15.5703125" style="186" customWidth="1"/>
    <col min="13833" max="13833" width="14.140625" style="186" customWidth="1"/>
    <col min="13834" max="13834" width="1.7109375" style="186" customWidth="1"/>
    <col min="13835" max="13835" width="13.7109375" style="186" customWidth="1"/>
    <col min="13836" max="13836" width="13.85546875" style="186" bestFit="1" customWidth="1"/>
    <col min="13837" max="13837" width="2.5703125" style="186" customWidth="1"/>
    <col min="13838" max="13838" width="12.42578125" style="186" customWidth="1"/>
    <col min="13839" max="13839" width="13.5703125" style="186" customWidth="1"/>
    <col min="13840" max="13840" width="2.5703125" style="186" customWidth="1"/>
    <col min="13841" max="13841" width="12.42578125" style="186" customWidth="1"/>
    <col min="13842" max="13842" width="13.5703125" style="186" customWidth="1"/>
    <col min="13843" max="13843" width="2.5703125" style="186" customWidth="1"/>
    <col min="13844" max="13844" width="11.5703125" style="186" customWidth="1"/>
    <col min="13845" max="13845" width="13" style="186" customWidth="1"/>
    <col min="13846" max="13846" width="1.42578125" style="186" customWidth="1"/>
    <col min="13847" max="13847" width="10.5703125" style="186" customWidth="1"/>
    <col min="13848" max="14079" width="11" style="186"/>
    <col min="14080" max="14080" width="1.5703125" style="186" customWidth="1"/>
    <col min="14081" max="14081" width="8.5703125" style="186" customWidth="1"/>
    <col min="14082" max="14082" width="28.7109375" style="186" customWidth="1"/>
    <col min="14083" max="14083" width="26.5703125" style="186" customWidth="1"/>
    <col min="14084" max="14084" width="7.7109375" style="186" customWidth="1"/>
    <col min="14085" max="14085" width="19.42578125" style="186" customWidth="1"/>
    <col min="14086" max="14086" width="44.28515625" style="186" customWidth="1"/>
    <col min="14087" max="14087" width="17" style="186" customWidth="1"/>
    <col min="14088" max="14088" width="15.5703125" style="186" customWidth="1"/>
    <col min="14089" max="14089" width="14.140625" style="186" customWidth="1"/>
    <col min="14090" max="14090" width="1.7109375" style="186" customWidth="1"/>
    <col min="14091" max="14091" width="13.7109375" style="186" customWidth="1"/>
    <col min="14092" max="14092" width="13.85546875" style="186" bestFit="1" customWidth="1"/>
    <col min="14093" max="14093" width="2.5703125" style="186" customWidth="1"/>
    <col min="14094" max="14094" width="12.42578125" style="186" customWidth="1"/>
    <col min="14095" max="14095" width="13.5703125" style="186" customWidth="1"/>
    <col min="14096" max="14096" width="2.5703125" style="186" customWidth="1"/>
    <col min="14097" max="14097" width="12.42578125" style="186" customWidth="1"/>
    <col min="14098" max="14098" width="13.5703125" style="186" customWidth="1"/>
    <col min="14099" max="14099" width="2.5703125" style="186" customWidth="1"/>
    <col min="14100" max="14100" width="11.5703125" style="186" customWidth="1"/>
    <col min="14101" max="14101" width="13" style="186" customWidth="1"/>
    <col min="14102" max="14102" width="1.42578125" style="186" customWidth="1"/>
    <col min="14103" max="14103" width="10.5703125" style="186" customWidth="1"/>
    <col min="14104" max="14335" width="11" style="186"/>
    <col min="14336" max="14336" width="1.5703125" style="186" customWidth="1"/>
    <col min="14337" max="14337" width="8.5703125" style="186" customWidth="1"/>
    <col min="14338" max="14338" width="28.7109375" style="186" customWidth="1"/>
    <col min="14339" max="14339" width="26.5703125" style="186" customWidth="1"/>
    <col min="14340" max="14340" width="7.7109375" style="186" customWidth="1"/>
    <col min="14341" max="14341" width="19.42578125" style="186" customWidth="1"/>
    <col min="14342" max="14342" width="44.28515625" style="186" customWidth="1"/>
    <col min="14343" max="14343" width="17" style="186" customWidth="1"/>
    <col min="14344" max="14344" width="15.5703125" style="186" customWidth="1"/>
    <col min="14345" max="14345" width="14.140625" style="186" customWidth="1"/>
    <col min="14346" max="14346" width="1.7109375" style="186" customWidth="1"/>
    <col min="14347" max="14347" width="13.7109375" style="186" customWidth="1"/>
    <col min="14348" max="14348" width="13.85546875" style="186" bestFit="1" customWidth="1"/>
    <col min="14349" max="14349" width="2.5703125" style="186" customWidth="1"/>
    <col min="14350" max="14350" width="12.42578125" style="186" customWidth="1"/>
    <col min="14351" max="14351" width="13.5703125" style="186" customWidth="1"/>
    <col min="14352" max="14352" width="2.5703125" style="186" customWidth="1"/>
    <col min="14353" max="14353" width="12.42578125" style="186" customWidth="1"/>
    <col min="14354" max="14354" width="13.5703125" style="186" customWidth="1"/>
    <col min="14355" max="14355" width="2.5703125" style="186" customWidth="1"/>
    <col min="14356" max="14356" width="11.5703125" style="186" customWidth="1"/>
    <col min="14357" max="14357" width="13" style="186" customWidth="1"/>
    <col min="14358" max="14358" width="1.42578125" style="186" customWidth="1"/>
    <col min="14359" max="14359" width="10.5703125" style="186" customWidth="1"/>
    <col min="14360" max="14591" width="11" style="186"/>
    <col min="14592" max="14592" width="1.5703125" style="186" customWidth="1"/>
    <col min="14593" max="14593" width="8.5703125" style="186" customWidth="1"/>
    <col min="14594" max="14594" width="28.7109375" style="186" customWidth="1"/>
    <col min="14595" max="14595" width="26.5703125" style="186" customWidth="1"/>
    <col min="14596" max="14596" width="7.7109375" style="186" customWidth="1"/>
    <col min="14597" max="14597" width="19.42578125" style="186" customWidth="1"/>
    <col min="14598" max="14598" width="44.28515625" style="186" customWidth="1"/>
    <col min="14599" max="14599" width="17" style="186" customWidth="1"/>
    <col min="14600" max="14600" width="15.5703125" style="186" customWidth="1"/>
    <col min="14601" max="14601" width="14.140625" style="186" customWidth="1"/>
    <col min="14602" max="14602" width="1.7109375" style="186" customWidth="1"/>
    <col min="14603" max="14603" width="13.7109375" style="186" customWidth="1"/>
    <col min="14604" max="14604" width="13.85546875" style="186" bestFit="1" customWidth="1"/>
    <col min="14605" max="14605" width="2.5703125" style="186" customWidth="1"/>
    <col min="14606" max="14606" width="12.42578125" style="186" customWidth="1"/>
    <col min="14607" max="14607" width="13.5703125" style="186" customWidth="1"/>
    <col min="14608" max="14608" width="2.5703125" style="186" customWidth="1"/>
    <col min="14609" max="14609" width="12.42578125" style="186" customWidth="1"/>
    <col min="14610" max="14610" width="13.5703125" style="186" customWidth="1"/>
    <col min="14611" max="14611" width="2.5703125" style="186" customWidth="1"/>
    <col min="14612" max="14612" width="11.5703125" style="186" customWidth="1"/>
    <col min="14613" max="14613" width="13" style="186" customWidth="1"/>
    <col min="14614" max="14614" width="1.42578125" style="186" customWidth="1"/>
    <col min="14615" max="14615" width="10.5703125" style="186" customWidth="1"/>
    <col min="14616" max="14847" width="11" style="186"/>
    <col min="14848" max="14848" width="1.5703125" style="186" customWidth="1"/>
    <col min="14849" max="14849" width="8.5703125" style="186" customWidth="1"/>
    <col min="14850" max="14850" width="28.7109375" style="186" customWidth="1"/>
    <col min="14851" max="14851" width="26.5703125" style="186" customWidth="1"/>
    <col min="14852" max="14852" width="7.7109375" style="186" customWidth="1"/>
    <col min="14853" max="14853" width="19.42578125" style="186" customWidth="1"/>
    <col min="14854" max="14854" width="44.28515625" style="186" customWidth="1"/>
    <col min="14855" max="14855" width="17" style="186" customWidth="1"/>
    <col min="14856" max="14856" width="15.5703125" style="186" customWidth="1"/>
    <col min="14857" max="14857" width="14.140625" style="186" customWidth="1"/>
    <col min="14858" max="14858" width="1.7109375" style="186" customWidth="1"/>
    <col min="14859" max="14859" width="13.7109375" style="186" customWidth="1"/>
    <col min="14860" max="14860" width="13.85546875" style="186" bestFit="1" customWidth="1"/>
    <col min="14861" max="14861" width="2.5703125" style="186" customWidth="1"/>
    <col min="14862" max="14862" width="12.42578125" style="186" customWidth="1"/>
    <col min="14863" max="14863" width="13.5703125" style="186" customWidth="1"/>
    <col min="14864" max="14864" width="2.5703125" style="186" customWidth="1"/>
    <col min="14865" max="14865" width="12.42578125" style="186" customWidth="1"/>
    <col min="14866" max="14866" width="13.5703125" style="186" customWidth="1"/>
    <col min="14867" max="14867" width="2.5703125" style="186" customWidth="1"/>
    <col min="14868" max="14868" width="11.5703125" style="186" customWidth="1"/>
    <col min="14869" max="14869" width="13" style="186" customWidth="1"/>
    <col min="14870" max="14870" width="1.42578125" style="186" customWidth="1"/>
    <col min="14871" max="14871" width="10.5703125" style="186" customWidth="1"/>
    <col min="14872" max="15103" width="11" style="186"/>
    <col min="15104" max="15104" width="1.5703125" style="186" customWidth="1"/>
    <col min="15105" max="15105" width="8.5703125" style="186" customWidth="1"/>
    <col min="15106" max="15106" width="28.7109375" style="186" customWidth="1"/>
    <col min="15107" max="15107" width="26.5703125" style="186" customWidth="1"/>
    <col min="15108" max="15108" width="7.7109375" style="186" customWidth="1"/>
    <col min="15109" max="15109" width="19.42578125" style="186" customWidth="1"/>
    <col min="15110" max="15110" width="44.28515625" style="186" customWidth="1"/>
    <col min="15111" max="15111" width="17" style="186" customWidth="1"/>
    <col min="15112" max="15112" width="15.5703125" style="186" customWidth="1"/>
    <col min="15113" max="15113" width="14.140625" style="186" customWidth="1"/>
    <col min="15114" max="15114" width="1.7109375" style="186" customWidth="1"/>
    <col min="15115" max="15115" width="13.7109375" style="186" customWidth="1"/>
    <col min="15116" max="15116" width="13.85546875" style="186" bestFit="1" customWidth="1"/>
    <col min="15117" max="15117" width="2.5703125" style="186" customWidth="1"/>
    <col min="15118" max="15118" width="12.42578125" style="186" customWidth="1"/>
    <col min="15119" max="15119" width="13.5703125" style="186" customWidth="1"/>
    <col min="15120" max="15120" width="2.5703125" style="186" customWidth="1"/>
    <col min="15121" max="15121" width="12.42578125" style="186" customWidth="1"/>
    <col min="15122" max="15122" width="13.5703125" style="186" customWidth="1"/>
    <col min="15123" max="15123" width="2.5703125" style="186" customWidth="1"/>
    <col min="15124" max="15124" width="11.5703125" style="186" customWidth="1"/>
    <col min="15125" max="15125" width="13" style="186" customWidth="1"/>
    <col min="15126" max="15126" width="1.42578125" style="186" customWidth="1"/>
    <col min="15127" max="15127" width="10.5703125" style="186" customWidth="1"/>
    <col min="15128" max="15359" width="11" style="186"/>
    <col min="15360" max="15360" width="1.5703125" style="186" customWidth="1"/>
    <col min="15361" max="15361" width="8.5703125" style="186" customWidth="1"/>
    <col min="15362" max="15362" width="28.7109375" style="186" customWidth="1"/>
    <col min="15363" max="15363" width="26.5703125" style="186" customWidth="1"/>
    <col min="15364" max="15364" width="7.7109375" style="186" customWidth="1"/>
    <col min="15365" max="15365" width="19.42578125" style="186" customWidth="1"/>
    <col min="15366" max="15366" width="44.28515625" style="186" customWidth="1"/>
    <col min="15367" max="15367" width="17" style="186" customWidth="1"/>
    <col min="15368" max="15368" width="15.5703125" style="186" customWidth="1"/>
    <col min="15369" max="15369" width="14.140625" style="186" customWidth="1"/>
    <col min="15370" max="15370" width="1.7109375" style="186" customWidth="1"/>
    <col min="15371" max="15371" width="13.7109375" style="186" customWidth="1"/>
    <col min="15372" max="15372" width="13.85546875" style="186" bestFit="1" customWidth="1"/>
    <col min="15373" max="15373" width="2.5703125" style="186" customWidth="1"/>
    <col min="15374" max="15374" width="12.42578125" style="186" customWidth="1"/>
    <col min="15375" max="15375" width="13.5703125" style="186" customWidth="1"/>
    <col min="15376" max="15376" width="2.5703125" style="186" customWidth="1"/>
    <col min="15377" max="15377" width="12.42578125" style="186" customWidth="1"/>
    <col min="15378" max="15378" width="13.5703125" style="186" customWidth="1"/>
    <col min="15379" max="15379" width="2.5703125" style="186" customWidth="1"/>
    <col min="15380" max="15380" width="11.5703125" style="186" customWidth="1"/>
    <col min="15381" max="15381" width="13" style="186" customWidth="1"/>
    <col min="15382" max="15382" width="1.42578125" style="186" customWidth="1"/>
    <col min="15383" max="15383" width="10.5703125" style="186" customWidth="1"/>
    <col min="15384" max="15615" width="11" style="186"/>
    <col min="15616" max="15616" width="1.5703125" style="186" customWidth="1"/>
    <col min="15617" max="15617" width="8.5703125" style="186" customWidth="1"/>
    <col min="15618" max="15618" width="28.7109375" style="186" customWidth="1"/>
    <col min="15619" max="15619" width="26.5703125" style="186" customWidth="1"/>
    <col min="15620" max="15620" width="7.7109375" style="186" customWidth="1"/>
    <col min="15621" max="15621" width="19.42578125" style="186" customWidth="1"/>
    <col min="15622" max="15622" width="44.28515625" style="186" customWidth="1"/>
    <col min="15623" max="15623" width="17" style="186" customWidth="1"/>
    <col min="15624" max="15624" width="15.5703125" style="186" customWidth="1"/>
    <col min="15625" max="15625" width="14.140625" style="186" customWidth="1"/>
    <col min="15626" max="15626" width="1.7109375" style="186" customWidth="1"/>
    <col min="15627" max="15627" width="13.7109375" style="186" customWidth="1"/>
    <col min="15628" max="15628" width="13.85546875" style="186" bestFit="1" customWidth="1"/>
    <col min="15629" max="15629" width="2.5703125" style="186" customWidth="1"/>
    <col min="15630" max="15630" width="12.42578125" style="186" customWidth="1"/>
    <col min="15631" max="15631" width="13.5703125" style="186" customWidth="1"/>
    <col min="15632" max="15632" width="2.5703125" style="186" customWidth="1"/>
    <col min="15633" max="15633" width="12.42578125" style="186" customWidth="1"/>
    <col min="15634" max="15634" width="13.5703125" style="186" customWidth="1"/>
    <col min="15635" max="15635" width="2.5703125" style="186" customWidth="1"/>
    <col min="15636" max="15636" width="11.5703125" style="186" customWidth="1"/>
    <col min="15637" max="15637" width="13" style="186" customWidth="1"/>
    <col min="15638" max="15638" width="1.42578125" style="186" customWidth="1"/>
    <col min="15639" max="15639" width="10.5703125" style="186" customWidth="1"/>
    <col min="15640" max="15871" width="11" style="186"/>
    <col min="15872" max="15872" width="1.5703125" style="186" customWidth="1"/>
    <col min="15873" max="15873" width="8.5703125" style="186" customWidth="1"/>
    <col min="15874" max="15874" width="28.7109375" style="186" customWidth="1"/>
    <col min="15875" max="15875" width="26.5703125" style="186" customWidth="1"/>
    <col min="15876" max="15876" width="7.7109375" style="186" customWidth="1"/>
    <col min="15877" max="15877" width="19.42578125" style="186" customWidth="1"/>
    <col min="15878" max="15878" width="44.28515625" style="186" customWidth="1"/>
    <col min="15879" max="15879" width="17" style="186" customWidth="1"/>
    <col min="15880" max="15880" width="15.5703125" style="186" customWidth="1"/>
    <col min="15881" max="15881" width="14.140625" style="186" customWidth="1"/>
    <col min="15882" max="15882" width="1.7109375" style="186" customWidth="1"/>
    <col min="15883" max="15883" width="13.7109375" style="186" customWidth="1"/>
    <col min="15884" max="15884" width="13.85546875" style="186" bestFit="1" customWidth="1"/>
    <col min="15885" max="15885" width="2.5703125" style="186" customWidth="1"/>
    <col min="15886" max="15886" width="12.42578125" style="186" customWidth="1"/>
    <col min="15887" max="15887" width="13.5703125" style="186" customWidth="1"/>
    <col min="15888" max="15888" width="2.5703125" style="186" customWidth="1"/>
    <col min="15889" max="15889" width="12.42578125" style="186" customWidth="1"/>
    <col min="15890" max="15890" width="13.5703125" style="186" customWidth="1"/>
    <col min="15891" max="15891" width="2.5703125" style="186" customWidth="1"/>
    <col min="15892" max="15892" width="11.5703125" style="186" customWidth="1"/>
    <col min="15893" max="15893" width="13" style="186" customWidth="1"/>
    <col min="15894" max="15894" width="1.42578125" style="186" customWidth="1"/>
    <col min="15895" max="15895" width="10.5703125" style="186" customWidth="1"/>
    <col min="15896" max="16127" width="11" style="186"/>
    <col min="16128" max="16128" width="1.5703125" style="186" customWidth="1"/>
    <col min="16129" max="16129" width="8.5703125" style="186" customWidth="1"/>
    <col min="16130" max="16130" width="28.7109375" style="186" customWidth="1"/>
    <col min="16131" max="16131" width="26.5703125" style="186" customWidth="1"/>
    <col min="16132" max="16132" width="7.7109375" style="186" customWidth="1"/>
    <col min="16133" max="16133" width="19.42578125" style="186" customWidth="1"/>
    <col min="16134" max="16134" width="44.28515625" style="186" customWidth="1"/>
    <col min="16135" max="16135" width="17" style="186" customWidth="1"/>
    <col min="16136" max="16136" width="15.5703125" style="186" customWidth="1"/>
    <col min="16137" max="16137" width="14.140625" style="186" customWidth="1"/>
    <col min="16138" max="16138" width="1.7109375" style="186" customWidth="1"/>
    <col min="16139" max="16139" width="13.7109375" style="186" customWidth="1"/>
    <col min="16140" max="16140" width="13.85546875" style="186" bestFit="1" customWidth="1"/>
    <col min="16141" max="16141" width="2.5703125" style="186" customWidth="1"/>
    <col min="16142" max="16142" width="12.42578125" style="186" customWidth="1"/>
    <col min="16143" max="16143" width="13.5703125" style="186" customWidth="1"/>
    <col min="16144" max="16144" width="2.5703125" style="186" customWidth="1"/>
    <col min="16145" max="16145" width="12.42578125" style="186" customWidth="1"/>
    <col min="16146" max="16146" width="13.5703125" style="186" customWidth="1"/>
    <col min="16147" max="16147" width="2.5703125" style="186" customWidth="1"/>
    <col min="16148" max="16148" width="11.5703125" style="186" customWidth="1"/>
    <col min="16149" max="16149" width="13" style="186" customWidth="1"/>
    <col min="16150" max="16150" width="1.42578125" style="186" customWidth="1"/>
    <col min="16151" max="16151" width="10.5703125" style="186" customWidth="1"/>
    <col min="16152" max="16384" width="11" style="186"/>
  </cols>
  <sheetData>
    <row r="1" spans="2:23" s="8" customFormat="1" ht="24.75" customHeight="1" x14ac:dyDescent="0.2">
      <c r="B1" s="976"/>
      <c r="C1" s="977"/>
      <c r="D1" s="1310" t="s">
        <v>246</v>
      </c>
      <c r="E1" s="1311"/>
      <c r="F1" s="1311" t="s">
        <v>247</v>
      </c>
      <c r="G1" s="1311"/>
      <c r="H1" s="1311"/>
      <c r="I1" s="1311"/>
      <c r="J1" s="1311"/>
      <c r="K1" s="1311"/>
      <c r="L1" s="1311"/>
      <c r="M1" s="1311"/>
      <c r="N1" s="1311"/>
      <c r="O1" s="1311"/>
      <c r="P1" s="1312"/>
      <c r="Q1" s="1309"/>
      <c r="R1" s="1311"/>
      <c r="S1" s="1311"/>
      <c r="T1" s="1311"/>
      <c r="U1" s="1311"/>
      <c r="V1" s="1311"/>
      <c r="W1" s="1313"/>
    </row>
    <row r="2" spans="2:23" s="8" customFormat="1" ht="26.25" customHeight="1" x14ac:dyDescent="0.2">
      <c r="B2" s="978"/>
      <c r="C2" s="979"/>
      <c r="D2" s="1315" t="s">
        <v>248</v>
      </c>
      <c r="E2" s="1316"/>
      <c r="F2" s="1316" t="s">
        <v>209</v>
      </c>
      <c r="G2" s="1316"/>
      <c r="H2" s="1316"/>
      <c r="I2" s="1316"/>
      <c r="J2" s="1316"/>
      <c r="K2" s="1316"/>
      <c r="L2" s="1316"/>
      <c r="M2" s="1316"/>
      <c r="N2" s="1316"/>
      <c r="O2" s="1316"/>
      <c r="P2" s="1317"/>
      <c r="Q2" s="1314"/>
      <c r="R2" s="1316"/>
      <c r="S2" s="1316"/>
      <c r="T2" s="1316"/>
      <c r="U2" s="1316"/>
      <c r="V2" s="1316"/>
      <c r="W2" s="1318"/>
    </row>
    <row r="3" spans="2:23" s="8" customFormat="1" ht="30.75" customHeight="1" thickBot="1" x14ac:dyDescent="0.25">
      <c r="B3" s="980"/>
      <c r="C3" s="981"/>
      <c r="D3" s="1320" t="s">
        <v>242</v>
      </c>
      <c r="E3" s="1321"/>
      <c r="F3" s="338" t="s">
        <v>251</v>
      </c>
      <c r="G3" s="1406" t="s">
        <v>252</v>
      </c>
      <c r="H3" s="1406"/>
      <c r="I3" s="1406"/>
      <c r="J3" s="1406"/>
      <c r="K3" s="1406"/>
      <c r="L3" s="1406"/>
      <c r="M3" s="1406"/>
      <c r="N3" s="1322" t="s">
        <v>249</v>
      </c>
      <c r="O3" s="1320"/>
      <c r="P3" s="339">
        <v>1</v>
      </c>
      <c r="Q3" s="1319"/>
      <c r="R3" s="1321"/>
      <c r="S3" s="1321"/>
      <c r="T3" s="1321"/>
      <c r="U3" s="1321"/>
      <c r="V3" s="1321"/>
      <c r="W3" s="1323"/>
    </row>
    <row r="4" spans="2:23" ht="18.75" thickBot="1" x14ac:dyDescent="0.25">
      <c r="B4" s="299"/>
      <c r="C4" s="299"/>
      <c r="D4" s="299"/>
      <c r="E4" s="299"/>
      <c r="F4" s="299"/>
      <c r="G4" s="299"/>
      <c r="H4" s="299"/>
      <c r="I4" s="299"/>
      <c r="J4" s="299"/>
      <c r="K4" s="299"/>
      <c r="L4" s="299"/>
      <c r="M4" s="299"/>
      <c r="N4" s="299"/>
      <c r="O4" s="299"/>
      <c r="P4" s="299"/>
      <c r="Q4" s="299"/>
      <c r="R4" s="299"/>
      <c r="S4" s="299"/>
      <c r="T4" s="299"/>
      <c r="U4" s="299"/>
      <c r="V4" s="299"/>
      <c r="W4" s="299"/>
    </row>
    <row r="5" spans="2:23" ht="18.75" customHeight="1" thickBot="1" x14ac:dyDescent="0.25">
      <c r="B5" s="1332" t="s">
        <v>1178</v>
      </c>
      <c r="C5" s="1333"/>
      <c r="D5" s="1332" t="s">
        <v>1177</v>
      </c>
      <c r="E5" s="1333"/>
      <c r="W5" s="207"/>
    </row>
    <row r="6" spans="2:23" ht="18.75" customHeight="1" x14ac:dyDescent="0.2">
      <c r="B6" s="298" t="s">
        <v>180</v>
      </c>
      <c r="C6" s="297" t="s">
        <v>181</v>
      </c>
      <c r="D6" s="298" t="s">
        <v>180</v>
      </c>
      <c r="E6" s="297" t="s">
        <v>181</v>
      </c>
      <c r="W6" s="207"/>
    </row>
    <row r="7" spans="2:23" ht="18.75" customHeight="1" x14ac:dyDescent="0.2">
      <c r="B7" s="296" t="s">
        <v>196</v>
      </c>
      <c r="C7" s="290" t="s">
        <v>198</v>
      </c>
      <c r="D7" s="296" t="s">
        <v>1176</v>
      </c>
      <c r="E7" s="290" t="s">
        <v>198</v>
      </c>
      <c r="F7" s="193"/>
      <c r="G7" s="289"/>
      <c r="I7" s="288"/>
      <c r="W7" s="207"/>
    </row>
    <row r="8" spans="2:23" ht="25.5" x14ac:dyDescent="0.2">
      <c r="B8" s="295" t="s">
        <v>197</v>
      </c>
      <c r="C8" s="290" t="s">
        <v>182</v>
      </c>
      <c r="D8" s="295" t="s">
        <v>1212</v>
      </c>
      <c r="E8" s="290" t="s">
        <v>182</v>
      </c>
      <c r="G8" s="289"/>
      <c r="H8" s="294"/>
      <c r="I8" s="288"/>
      <c r="W8" s="293"/>
    </row>
    <row r="9" spans="2:23" ht="25.5" x14ac:dyDescent="0.2">
      <c r="B9" s="292" t="s">
        <v>194</v>
      </c>
      <c r="C9" s="290" t="s">
        <v>183</v>
      </c>
      <c r="D9" s="292" t="s">
        <v>1213</v>
      </c>
      <c r="E9" s="290" t="s">
        <v>183</v>
      </c>
      <c r="G9" s="289"/>
      <c r="H9" s="289"/>
      <c r="I9" s="288"/>
      <c r="W9" s="283"/>
    </row>
    <row r="10" spans="2:23" ht="15" x14ac:dyDescent="0.2">
      <c r="B10" s="291" t="s">
        <v>195</v>
      </c>
      <c r="C10" s="290" t="s">
        <v>184</v>
      </c>
      <c r="D10" s="291" t="s">
        <v>1171</v>
      </c>
      <c r="E10" s="290" t="s">
        <v>184</v>
      </c>
      <c r="G10" s="289"/>
      <c r="I10" s="288"/>
      <c r="W10" s="283"/>
    </row>
    <row r="11" spans="2:23" ht="15.75" thickBot="1" x14ac:dyDescent="0.25">
      <c r="B11" s="287" t="s">
        <v>185</v>
      </c>
      <c r="C11" s="285" t="s">
        <v>186</v>
      </c>
      <c r="D11" s="286" t="s">
        <v>1170</v>
      </c>
      <c r="E11" s="285" t="s">
        <v>186</v>
      </c>
      <c r="W11" s="283"/>
    </row>
    <row r="12" spans="2:23" ht="15" x14ac:dyDescent="0.2">
      <c r="D12" s="284"/>
      <c r="E12" s="284"/>
      <c r="F12" s="284"/>
      <c r="W12" s="283"/>
    </row>
    <row r="13" spans="2:23" ht="19.5" x14ac:dyDescent="0.25">
      <c r="F13" s="195"/>
      <c r="I13" s="451"/>
      <c r="J13" s="451"/>
    </row>
    <row r="14" spans="2:23" ht="19.5" x14ac:dyDescent="0.25">
      <c r="B14" s="1405" t="s">
        <v>1214</v>
      </c>
      <c r="C14" s="1405"/>
      <c r="E14" s="1405" t="s">
        <v>1215</v>
      </c>
      <c r="F14" s="1405"/>
      <c r="I14" s="1405" t="s">
        <v>1216</v>
      </c>
      <c r="J14" s="1405"/>
      <c r="M14" s="1405" t="s">
        <v>1217</v>
      </c>
      <c r="N14" s="1405"/>
    </row>
    <row r="15" spans="2:23" ht="19.5" x14ac:dyDescent="0.25">
      <c r="B15" s="452"/>
      <c r="C15" s="452"/>
      <c r="E15" s="192"/>
      <c r="I15" s="192"/>
      <c r="M15" s="192"/>
    </row>
    <row r="16" spans="2:23" ht="19.5" x14ac:dyDescent="0.25">
      <c r="B16" s="453" t="s">
        <v>1218</v>
      </c>
      <c r="C16" s="192"/>
      <c r="D16" s="451"/>
      <c r="E16" s="453" t="s">
        <v>1218</v>
      </c>
      <c r="G16" s="186"/>
      <c r="H16" s="186"/>
      <c r="I16" s="453" t="s">
        <v>1218</v>
      </c>
      <c r="K16" s="186"/>
      <c r="M16" s="453" t="s">
        <v>1218</v>
      </c>
      <c r="O16" s="186"/>
      <c r="S16" s="186"/>
    </row>
    <row r="17" spans="2:19" ht="19.5" x14ac:dyDescent="0.25">
      <c r="B17" s="454" t="s">
        <v>1219</v>
      </c>
      <c r="C17" s="455">
        <f>+'[11]Plan de Accion 2018'!AC328</f>
        <v>17235928559.849998</v>
      </c>
      <c r="D17" s="451"/>
      <c r="E17" s="454" t="s">
        <v>1219</v>
      </c>
      <c r="F17" s="455">
        <v>35922847995.809998</v>
      </c>
      <c r="G17" s="186"/>
      <c r="H17" s="186"/>
      <c r="I17" s="454" t="s">
        <v>1219</v>
      </c>
      <c r="J17" s="455">
        <v>56279035497.190002</v>
      </c>
      <c r="K17" s="186"/>
      <c r="L17" s="456"/>
      <c r="M17" s="454" t="s">
        <v>1219</v>
      </c>
      <c r="N17" s="455">
        <f>56279035497.19+13953713987.76</f>
        <v>70232749484.949997</v>
      </c>
      <c r="O17" s="186"/>
      <c r="S17" s="186"/>
    </row>
    <row r="18" spans="2:19" ht="20.25" thickBot="1" x14ac:dyDescent="0.3">
      <c r="B18" s="454" t="s">
        <v>1220</v>
      </c>
      <c r="C18" s="457">
        <f>+'[11]Plan de Accion 2018'!L327</f>
        <v>123940944854</v>
      </c>
      <c r="D18" s="451"/>
      <c r="E18" s="454" t="s">
        <v>1220</v>
      </c>
      <c r="F18" s="457">
        <v>123940944854</v>
      </c>
      <c r="G18" s="186"/>
      <c r="H18" s="189"/>
      <c r="I18" s="454" t="s">
        <v>1220</v>
      </c>
      <c r="J18" s="457">
        <v>123940944854.60999</v>
      </c>
      <c r="K18" s="186"/>
      <c r="M18" s="454" t="s">
        <v>1220</v>
      </c>
      <c r="N18" s="457">
        <v>107533582066.44</v>
      </c>
      <c r="O18" s="186"/>
      <c r="P18" s="458"/>
    </row>
    <row r="19" spans="2:19" ht="20.25" thickBot="1" x14ac:dyDescent="0.3">
      <c r="C19" s="459">
        <f>+C17/C18</f>
        <v>0.13906565405123855</v>
      </c>
      <c r="D19" s="451"/>
      <c r="F19" s="459">
        <f>+F17/F18</f>
        <v>0.28983842295317669</v>
      </c>
      <c r="G19" s="186"/>
      <c r="H19" s="189"/>
      <c r="J19" s="459">
        <f>+J17/J18</f>
        <v>0.45407944536172951</v>
      </c>
      <c r="K19" s="186"/>
      <c r="N19" s="459">
        <f>+N17/N18</f>
        <v>0.65312387195989108</v>
      </c>
      <c r="O19" s="186"/>
    </row>
    <row r="20" spans="2:19" ht="19.5" x14ac:dyDescent="0.25">
      <c r="C20" s="460"/>
      <c r="D20" s="451"/>
      <c r="F20" s="460"/>
      <c r="G20" s="186"/>
      <c r="H20" s="189"/>
      <c r="J20" s="460"/>
      <c r="K20" s="186"/>
      <c r="N20" s="460"/>
      <c r="O20" s="186"/>
    </row>
    <row r="21" spans="2:19" ht="18" x14ac:dyDescent="0.25">
      <c r="B21" s="453" t="s">
        <v>1221</v>
      </c>
      <c r="E21" s="453" t="s">
        <v>1221</v>
      </c>
      <c r="G21" s="186"/>
      <c r="H21" s="189"/>
      <c r="I21" s="453" t="s">
        <v>1221</v>
      </c>
      <c r="K21" s="186"/>
      <c r="M21" s="453" t="s">
        <v>1221</v>
      </c>
      <c r="O21" s="186"/>
    </row>
    <row r="22" spans="2:19" ht="19.5" x14ac:dyDescent="0.25">
      <c r="B22" s="454" t="s">
        <v>1219</v>
      </c>
      <c r="C22" s="455">
        <f>+'[11]Plan de Accion 2018'!AC327</f>
        <v>10741284867605.9</v>
      </c>
      <c r="D22" s="451"/>
      <c r="E22" s="454" t="s">
        <v>1219</v>
      </c>
      <c r="F22" s="455">
        <v>22444626965916.301</v>
      </c>
      <c r="G22" s="186"/>
      <c r="H22" s="189"/>
      <c r="I22" s="454" t="s">
        <v>1219</v>
      </c>
      <c r="J22" s="455">
        <v>34067125570443.301</v>
      </c>
      <c r="K22" s="186"/>
      <c r="M22" s="454" t="s">
        <v>1219</v>
      </c>
      <c r="N22" s="455">
        <f>34067125570443.3+12001295503907</f>
        <v>46068421074350.297</v>
      </c>
      <c r="O22" s="186"/>
    </row>
    <row r="23" spans="2:19" ht="20.25" thickBot="1" x14ac:dyDescent="0.3">
      <c r="B23" s="454" t="s">
        <v>1220</v>
      </c>
      <c r="C23" s="457">
        <f>+'[11]Plan de Accion 2018'!L326</f>
        <v>42726949922000</v>
      </c>
      <c r="D23" s="451"/>
      <c r="E23" s="454" t="s">
        <v>1220</v>
      </c>
      <c r="F23" s="457">
        <v>43128604240962.609</v>
      </c>
      <c r="G23" s="186"/>
      <c r="H23" s="189"/>
      <c r="I23" s="454" t="s">
        <v>1220</v>
      </c>
      <c r="J23" s="455">
        <v>44440604240962</v>
      </c>
      <c r="K23" s="186"/>
      <c r="M23" s="454" t="s">
        <v>1220</v>
      </c>
      <c r="N23" s="455">
        <v>46648156240962</v>
      </c>
      <c r="O23" s="186"/>
    </row>
    <row r="24" spans="2:19" ht="20.25" thickBot="1" x14ac:dyDescent="0.3">
      <c r="C24" s="461">
        <f>+C22/C23</f>
        <v>0.25139367278063629</v>
      </c>
      <c r="D24" s="451"/>
      <c r="F24" s="461">
        <f>+F22/F23</f>
        <v>0.5204116238150569</v>
      </c>
      <c r="G24" s="186"/>
      <c r="H24" s="189"/>
      <c r="J24" s="461">
        <f>+J22/J23</f>
        <v>0.76657656105950944</v>
      </c>
      <c r="K24" s="186"/>
      <c r="N24" s="461">
        <f>+N22/N23</f>
        <v>0.98757217405084419</v>
      </c>
      <c r="O24" s="186"/>
    </row>
    <row r="25" spans="2:19" ht="19.5" x14ac:dyDescent="0.25">
      <c r="C25" s="462"/>
      <c r="D25" s="451"/>
      <c r="F25" s="462"/>
      <c r="G25" s="186"/>
      <c r="H25" s="189"/>
      <c r="J25" s="462"/>
      <c r="K25" s="186"/>
      <c r="N25" s="462"/>
      <c r="O25" s="186"/>
    </row>
    <row r="26" spans="2:19" ht="18" x14ac:dyDescent="0.25">
      <c r="B26" s="453" t="s">
        <v>1222</v>
      </c>
      <c r="E26" s="453" t="s">
        <v>1222</v>
      </c>
      <c r="G26" s="186"/>
      <c r="H26" s="189"/>
      <c r="I26" s="453" t="s">
        <v>1222</v>
      </c>
      <c r="K26" s="186"/>
      <c r="M26" s="453" t="s">
        <v>1222</v>
      </c>
      <c r="O26" s="186"/>
    </row>
    <row r="27" spans="2:19" ht="18" x14ac:dyDescent="0.25">
      <c r="B27" s="454" t="s">
        <v>1219</v>
      </c>
      <c r="C27" s="455">
        <f>+C17+C22</f>
        <v>10758520796165.75</v>
      </c>
      <c r="E27" s="454" t="s">
        <v>1219</v>
      </c>
      <c r="F27" s="455">
        <v>22480549813912.109</v>
      </c>
      <c r="G27" s="186"/>
      <c r="H27" s="189"/>
      <c r="I27" s="454" t="s">
        <v>1219</v>
      </c>
      <c r="J27" s="455">
        <f>+J17+J22</f>
        <v>34123404605940.492</v>
      </c>
      <c r="K27" s="186"/>
      <c r="M27" s="454" t="s">
        <v>1219</v>
      </c>
      <c r="N27" s="455">
        <f>+N17+N22</f>
        <v>46138653823835.25</v>
      </c>
      <c r="O27" s="186"/>
    </row>
    <row r="28" spans="2:19" ht="18.75" thickBot="1" x14ac:dyDescent="0.3">
      <c r="B28" s="454" t="s">
        <v>1220</v>
      </c>
      <c r="C28" s="457">
        <f>+C18+C23</f>
        <v>42850890866854</v>
      </c>
      <c r="E28" s="454" t="s">
        <v>1220</v>
      </c>
      <c r="F28" s="457">
        <v>43252545185816.609</v>
      </c>
      <c r="G28" s="186"/>
      <c r="H28" s="189"/>
      <c r="I28" s="454" t="s">
        <v>1220</v>
      </c>
      <c r="J28" s="457">
        <f>+J18+J23</f>
        <v>44564545185816.609</v>
      </c>
      <c r="K28" s="186"/>
      <c r="M28" s="454" t="s">
        <v>1220</v>
      </c>
      <c r="N28" s="457">
        <f>+N18+N23</f>
        <v>46755689823028.438</v>
      </c>
      <c r="O28" s="186"/>
    </row>
    <row r="29" spans="2:19" ht="20.25" thickBot="1" x14ac:dyDescent="0.3">
      <c r="C29" s="461">
        <f>+C27/C28</f>
        <v>0.25106877776694431</v>
      </c>
      <c r="F29" s="461">
        <f>+F27/F28</f>
        <v>0.51975091216791425</v>
      </c>
      <c r="G29" s="186"/>
      <c r="H29" s="189"/>
      <c r="J29" s="461">
        <f>+J27/J28</f>
        <v>0.76570745788292749</v>
      </c>
      <c r="K29" s="186"/>
      <c r="N29" s="461">
        <f>+N27/N28</f>
        <v>0.9868029751773808</v>
      </c>
      <c r="O29" s="186"/>
    </row>
    <row r="30" spans="2:19" x14ac:dyDescent="0.2">
      <c r="F30" s="190"/>
      <c r="H30" s="186"/>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413" t="s">
        <v>259</v>
      </c>
      <c r="B1" s="1413"/>
      <c r="F1" t="s">
        <v>260</v>
      </c>
      <c r="H1" t="s">
        <v>261</v>
      </c>
      <c r="J1" s="3" t="s">
        <v>262</v>
      </c>
      <c r="L1" s="3" t="s">
        <v>263</v>
      </c>
      <c r="N1" t="s">
        <v>264</v>
      </c>
      <c r="P1" t="s">
        <v>265</v>
      </c>
      <c r="S1" t="s">
        <v>266</v>
      </c>
      <c r="U1" t="s">
        <v>267</v>
      </c>
    </row>
    <row r="2" spans="1:25" s="29" customFormat="1" x14ac:dyDescent="0.25">
      <c r="A2" s="28" t="s">
        <v>268</v>
      </c>
      <c r="B2" s="28" t="s">
        <v>269</v>
      </c>
      <c r="D2" s="28" t="s">
        <v>56</v>
      </c>
      <c r="F2" s="30" t="s">
        <v>270</v>
      </c>
      <c r="H2" s="30" t="s">
        <v>271</v>
      </c>
      <c r="J2" s="30" t="s">
        <v>272</v>
      </c>
      <c r="L2" s="30" t="s">
        <v>273</v>
      </c>
      <c r="N2" s="30" t="s">
        <v>274</v>
      </c>
      <c r="P2" s="30" t="s">
        <v>275</v>
      </c>
      <c r="Q2" s="51"/>
      <c r="R2" s="30" t="s">
        <v>329</v>
      </c>
      <c r="S2" s="30" t="s">
        <v>276</v>
      </c>
      <c r="U2" s="30" t="s">
        <v>277</v>
      </c>
      <c r="W2" s="30" t="s">
        <v>278</v>
      </c>
      <c r="X2" s="30" t="s">
        <v>338</v>
      </c>
    </row>
    <row r="3" spans="1:25" x14ac:dyDescent="0.25">
      <c r="A3" s="1"/>
      <c r="B3" s="1"/>
      <c r="D3" s="1"/>
      <c r="F3" s="1"/>
      <c r="H3" s="1"/>
      <c r="J3" s="1"/>
      <c r="L3" s="1"/>
      <c r="N3" s="1"/>
      <c r="P3" s="1"/>
      <c r="Q3" s="31"/>
      <c r="S3" s="2" t="s">
        <v>152</v>
      </c>
      <c r="U3" s="1"/>
      <c r="W3" s="1" t="s">
        <v>279</v>
      </c>
    </row>
    <row r="4" spans="1:25" ht="75" x14ac:dyDescent="0.25">
      <c r="A4" s="32">
        <v>11200</v>
      </c>
      <c r="B4" s="32" t="s">
        <v>1</v>
      </c>
      <c r="D4" s="2" t="s">
        <v>344</v>
      </c>
      <c r="F4" s="2" t="s">
        <v>16</v>
      </c>
      <c r="H4" s="2" t="s">
        <v>21</v>
      </c>
      <c r="J4" s="2" t="s">
        <v>634</v>
      </c>
      <c r="L4" s="2" t="s">
        <v>636</v>
      </c>
      <c r="N4" s="2" t="s">
        <v>29</v>
      </c>
      <c r="P4" s="1"/>
      <c r="Q4" s="31"/>
      <c r="R4" s="52" t="s">
        <v>330</v>
      </c>
      <c r="S4" s="2" t="s">
        <v>55</v>
      </c>
      <c r="U4" s="2" t="s">
        <v>280</v>
      </c>
      <c r="W4" s="55" t="s">
        <v>48</v>
      </c>
      <c r="X4" s="56" t="s">
        <v>339</v>
      </c>
      <c r="Y4" s="32">
        <v>11200</v>
      </c>
    </row>
    <row r="5" spans="1:25" ht="75.75" thickBot="1" x14ac:dyDescent="0.3">
      <c r="A5" s="32">
        <v>11300</v>
      </c>
      <c r="B5" s="32" t="s">
        <v>2</v>
      </c>
      <c r="D5" s="2" t="s">
        <v>59</v>
      </c>
      <c r="F5" s="2" t="s">
        <v>20</v>
      </c>
      <c r="H5" s="2" t="s">
        <v>281</v>
      </c>
      <c r="J5" s="2" t="s">
        <v>633</v>
      </c>
      <c r="K5" s="29"/>
      <c r="L5" s="2" t="s">
        <v>637</v>
      </c>
      <c r="N5" s="2" t="s">
        <v>1045</v>
      </c>
      <c r="P5" s="1"/>
      <c r="Q5" s="31"/>
      <c r="R5" s="52" t="s">
        <v>336</v>
      </c>
      <c r="S5" s="33" t="s">
        <v>64</v>
      </c>
      <c r="U5" s="2" t="s">
        <v>282</v>
      </c>
      <c r="W5" s="55" t="s">
        <v>46</v>
      </c>
      <c r="X5" s="56" t="s">
        <v>340</v>
      </c>
      <c r="Y5" s="32">
        <v>11300</v>
      </c>
    </row>
    <row r="6" spans="1:25" ht="60" x14ac:dyDescent="0.25">
      <c r="A6" s="32">
        <v>11400</v>
      </c>
      <c r="B6" s="32" t="s">
        <v>12</v>
      </c>
      <c r="D6" s="2" t="s">
        <v>60</v>
      </c>
      <c r="F6" s="2" t="s">
        <v>17</v>
      </c>
      <c r="H6" s="2" t="s">
        <v>22</v>
      </c>
      <c r="J6" s="2" t="s">
        <v>204</v>
      </c>
      <c r="L6" s="2" t="s">
        <v>635</v>
      </c>
      <c r="N6" s="2" t="s">
        <v>71</v>
      </c>
      <c r="P6" s="1"/>
      <c r="Q6" s="31"/>
      <c r="R6" s="52" t="s">
        <v>331</v>
      </c>
      <c r="S6" s="34" t="s">
        <v>283</v>
      </c>
      <c r="U6" s="2" t="s">
        <v>284</v>
      </c>
      <c r="W6" s="55" t="s">
        <v>285</v>
      </c>
      <c r="X6" s="56" t="s">
        <v>341</v>
      </c>
      <c r="Y6" s="32">
        <v>11400</v>
      </c>
    </row>
    <row r="7" spans="1:25" ht="45" x14ac:dyDescent="0.25">
      <c r="A7" s="32">
        <v>11420</v>
      </c>
      <c r="B7" s="32" t="s">
        <v>286</v>
      </c>
      <c r="D7" s="2" t="s">
        <v>61</v>
      </c>
      <c r="F7" s="2" t="s">
        <v>287</v>
      </c>
      <c r="H7" s="2" t="s">
        <v>288</v>
      </c>
      <c r="L7" s="2" t="s">
        <v>638</v>
      </c>
      <c r="N7" s="2" t="s">
        <v>72</v>
      </c>
      <c r="P7" s="1"/>
      <c r="Q7" s="31"/>
      <c r="R7" s="52" t="s">
        <v>332</v>
      </c>
      <c r="S7" s="35" t="s">
        <v>289</v>
      </c>
      <c r="U7" s="2" t="s">
        <v>290</v>
      </c>
      <c r="W7" s="55" t="s">
        <v>47</v>
      </c>
      <c r="X7" s="56" t="s">
        <v>342</v>
      </c>
      <c r="Y7" s="32">
        <v>11420</v>
      </c>
    </row>
    <row r="8" spans="1:25" ht="90" x14ac:dyDescent="0.25">
      <c r="A8" s="32">
        <v>11430</v>
      </c>
      <c r="B8" s="32" t="s">
        <v>291</v>
      </c>
      <c r="D8" s="2" t="s">
        <v>94</v>
      </c>
      <c r="F8" s="37" t="s">
        <v>18</v>
      </c>
      <c r="H8" s="38" t="s">
        <v>26</v>
      </c>
      <c r="K8" s="29"/>
      <c r="L8" s="1"/>
      <c r="N8" s="2" t="s">
        <v>73</v>
      </c>
      <c r="P8" s="1"/>
      <c r="Q8" s="31"/>
      <c r="R8" s="52" t="s">
        <v>333</v>
      </c>
      <c r="S8" s="35" t="s">
        <v>292</v>
      </c>
      <c r="U8" s="2" t="s">
        <v>293</v>
      </c>
      <c r="X8" s="56" t="s">
        <v>343</v>
      </c>
      <c r="Y8" s="32">
        <v>11430</v>
      </c>
    </row>
    <row r="9" spans="1:25" ht="45" x14ac:dyDescent="0.25">
      <c r="A9" s="32">
        <v>11500</v>
      </c>
      <c r="B9" s="32" t="s">
        <v>13</v>
      </c>
      <c r="D9" s="2" t="s">
        <v>345</v>
      </c>
      <c r="F9" s="37" t="s">
        <v>294</v>
      </c>
      <c r="H9" s="38" t="s">
        <v>295</v>
      </c>
      <c r="L9" s="37"/>
      <c r="N9" s="2" t="s">
        <v>1041</v>
      </c>
      <c r="P9" s="1"/>
      <c r="Q9" s="31"/>
      <c r="R9" s="52" t="s">
        <v>334</v>
      </c>
      <c r="S9" s="35" t="s">
        <v>84</v>
      </c>
      <c r="U9" s="2" t="s">
        <v>296</v>
      </c>
      <c r="X9" s="57" t="s">
        <v>204</v>
      </c>
      <c r="Y9" s="32">
        <v>11500</v>
      </c>
    </row>
    <row r="10" spans="1:25" ht="150" x14ac:dyDescent="0.25">
      <c r="A10" s="32">
        <v>11600</v>
      </c>
      <c r="B10" s="32" t="s">
        <v>4</v>
      </c>
      <c r="D10" s="63" t="s">
        <v>348</v>
      </c>
      <c r="F10" s="37" t="s">
        <v>19</v>
      </c>
      <c r="H10" s="37" t="s">
        <v>27</v>
      </c>
      <c r="L10" s="37"/>
      <c r="N10" s="2" t="s">
        <v>74</v>
      </c>
      <c r="P10" s="1"/>
      <c r="Q10" s="31"/>
      <c r="R10" s="52" t="s">
        <v>335</v>
      </c>
      <c r="S10" s="35" t="s">
        <v>85</v>
      </c>
      <c r="U10" s="2" t="s">
        <v>40</v>
      </c>
      <c r="Y10" s="32">
        <v>11600</v>
      </c>
    </row>
    <row r="11" spans="1:25" ht="90" x14ac:dyDescent="0.25">
      <c r="A11" s="32">
        <v>11700</v>
      </c>
      <c r="B11" s="32" t="s">
        <v>14</v>
      </c>
      <c r="D11" s="64" t="s">
        <v>403</v>
      </c>
      <c r="H11" s="37" t="s">
        <v>297</v>
      </c>
      <c r="K11" s="29"/>
      <c r="L11" s="37"/>
      <c r="N11" s="2" t="s">
        <v>75</v>
      </c>
      <c r="P11" s="1"/>
      <c r="Q11" s="31"/>
      <c r="R11" s="52" t="s">
        <v>507</v>
      </c>
      <c r="S11" s="35" t="s">
        <v>141</v>
      </c>
      <c r="U11" s="2" t="s">
        <v>41</v>
      </c>
      <c r="Y11" s="32">
        <v>11700</v>
      </c>
    </row>
    <row r="12" spans="1:25" ht="30" x14ac:dyDescent="0.25">
      <c r="A12" s="32">
        <v>11800</v>
      </c>
      <c r="B12" s="32" t="s">
        <v>3</v>
      </c>
      <c r="H12" s="37" t="s">
        <v>28</v>
      </c>
      <c r="N12" s="2" t="s">
        <v>76</v>
      </c>
      <c r="P12" s="1"/>
      <c r="Q12" s="31"/>
      <c r="R12" s="52" t="s">
        <v>337</v>
      </c>
      <c r="S12" s="35" t="s">
        <v>142</v>
      </c>
      <c r="U12" s="2" t="s">
        <v>298</v>
      </c>
      <c r="Y12" s="32">
        <v>11800</v>
      </c>
    </row>
    <row r="13" spans="1:25" ht="30" x14ac:dyDescent="0.25">
      <c r="A13" s="32">
        <v>11900</v>
      </c>
      <c r="B13" s="32" t="s">
        <v>125</v>
      </c>
      <c r="H13" s="37" t="s">
        <v>23</v>
      </c>
      <c r="N13" s="2" t="s">
        <v>77</v>
      </c>
      <c r="P13" s="1"/>
      <c r="Q13" s="31"/>
      <c r="R13" s="52" t="s">
        <v>848</v>
      </c>
      <c r="S13" s="35" t="s">
        <v>87</v>
      </c>
      <c r="U13" s="2" t="s">
        <v>42</v>
      </c>
      <c r="Y13" s="32">
        <v>11900</v>
      </c>
    </row>
    <row r="14" spans="1:25" ht="45" x14ac:dyDescent="0.25">
      <c r="A14" s="32">
        <v>12000</v>
      </c>
      <c r="B14" s="32" t="s">
        <v>15</v>
      </c>
      <c r="H14" s="37" t="s">
        <v>299</v>
      </c>
      <c r="N14" s="2" t="s">
        <v>1042</v>
      </c>
      <c r="P14" s="1"/>
      <c r="Q14" s="31"/>
      <c r="R14" s="53"/>
      <c r="S14" s="35" t="s">
        <v>145</v>
      </c>
      <c r="U14" s="2" t="s">
        <v>300</v>
      </c>
      <c r="Y14" s="32">
        <v>12000</v>
      </c>
    </row>
    <row r="15" spans="1:25" ht="30" x14ac:dyDescent="0.25">
      <c r="H15" s="37" t="s">
        <v>301</v>
      </c>
      <c r="N15" s="2" t="s">
        <v>78</v>
      </c>
      <c r="P15" s="1"/>
      <c r="Q15" s="31"/>
      <c r="R15" s="53"/>
      <c r="S15" s="35" t="s">
        <v>87</v>
      </c>
      <c r="U15" s="2" t="s">
        <v>302</v>
      </c>
    </row>
    <row r="16" spans="1:25" ht="45" x14ac:dyDescent="0.25">
      <c r="H16" s="37" t="s">
        <v>303</v>
      </c>
      <c r="N16" s="2" t="s">
        <v>1040</v>
      </c>
      <c r="P16" s="1"/>
      <c r="Q16" s="31"/>
      <c r="R16" s="53"/>
      <c r="S16" s="35" t="s">
        <v>146</v>
      </c>
      <c r="U16" s="2" t="s">
        <v>43</v>
      </c>
    </row>
    <row r="17" spans="8:21" ht="30" x14ac:dyDescent="0.25">
      <c r="H17" s="37" t="s">
        <v>304</v>
      </c>
      <c r="N17" s="2" t="s">
        <v>1043</v>
      </c>
      <c r="P17" s="1"/>
      <c r="Q17" s="31"/>
      <c r="R17" s="53"/>
      <c r="S17" s="35" t="s">
        <v>147</v>
      </c>
      <c r="U17" s="2" t="s">
        <v>44</v>
      </c>
    </row>
    <row r="18" spans="8:21" ht="30.75" thickBot="1" x14ac:dyDescent="0.3">
      <c r="H18" s="37" t="s">
        <v>305</v>
      </c>
      <c r="N18" s="2" t="s">
        <v>79</v>
      </c>
      <c r="P18" s="1"/>
      <c r="Q18" s="31"/>
      <c r="R18" s="54"/>
      <c r="S18" s="39" t="s">
        <v>148</v>
      </c>
      <c r="U18" s="2" t="s">
        <v>306</v>
      </c>
    </row>
    <row r="19" spans="8:21" ht="45" customHeight="1" x14ac:dyDescent="0.25">
      <c r="H19" s="37" t="s">
        <v>24</v>
      </c>
      <c r="N19" s="2" t="s">
        <v>1044</v>
      </c>
      <c r="P19" s="1"/>
      <c r="Q19" s="31"/>
      <c r="R19" s="1407" t="s">
        <v>2</v>
      </c>
      <c r="S19" s="40" t="s">
        <v>156</v>
      </c>
      <c r="U19" s="2" t="s">
        <v>307</v>
      </c>
    </row>
    <row r="20" spans="8:21" ht="30" x14ac:dyDescent="0.25">
      <c r="H20" s="37" t="s">
        <v>308</v>
      </c>
      <c r="N20" s="2" t="s">
        <v>80</v>
      </c>
      <c r="P20" s="1"/>
      <c r="Q20" s="31"/>
      <c r="R20" s="1408"/>
      <c r="S20" s="41" t="s">
        <v>91</v>
      </c>
      <c r="U20" s="2" t="s">
        <v>309</v>
      </c>
    </row>
    <row r="21" spans="8:21" ht="30" x14ac:dyDescent="0.25">
      <c r="H21" s="37" t="s">
        <v>25</v>
      </c>
      <c r="N21" s="2" t="s">
        <v>1046</v>
      </c>
      <c r="P21" s="1"/>
      <c r="Q21" s="31"/>
      <c r="R21" s="1408"/>
      <c r="S21" s="35" t="s">
        <v>163</v>
      </c>
      <c r="U21" s="2" t="s">
        <v>310</v>
      </c>
    </row>
    <row r="22" spans="8:21" ht="30" customHeight="1" x14ac:dyDescent="0.25">
      <c r="N22" s="2" t="s">
        <v>81</v>
      </c>
      <c r="P22" s="1"/>
      <c r="Q22" s="31"/>
      <c r="R22" s="1408"/>
      <c r="S22" s="35" t="s">
        <v>157</v>
      </c>
      <c r="U22" s="2" t="s">
        <v>311</v>
      </c>
    </row>
    <row r="23" spans="8:21" x14ac:dyDescent="0.25">
      <c r="N23" s="2" t="s">
        <v>82</v>
      </c>
      <c r="P23" s="1"/>
      <c r="Q23" s="31"/>
      <c r="R23" s="1408"/>
      <c r="S23" s="35" t="s">
        <v>158</v>
      </c>
      <c r="U23" s="2" t="s">
        <v>45</v>
      </c>
    </row>
    <row r="24" spans="8:21" ht="45" customHeight="1" x14ac:dyDescent="0.25">
      <c r="N24" s="2" t="s">
        <v>1039</v>
      </c>
      <c r="P24" s="1"/>
      <c r="Q24" s="31"/>
      <c r="R24" s="1408"/>
      <c r="S24" s="42" t="s">
        <v>164</v>
      </c>
      <c r="U24" s="2" t="s">
        <v>312</v>
      </c>
    </row>
    <row r="25" spans="8:21" ht="45" customHeight="1" x14ac:dyDescent="0.25">
      <c r="N25" s="64" t="s">
        <v>1047</v>
      </c>
      <c r="R25" s="1408"/>
      <c r="S25" s="43"/>
      <c r="U25" s="64" t="s">
        <v>204</v>
      </c>
    </row>
    <row r="26" spans="8:21" x14ac:dyDescent="0.25">
      <c r="N26" s="64" t="s">
        <v>1048</v>
      </c>
      <c r="R26" s="1414"/>
      <c r="S26" s="42"/>
    </row>
    <row r="27" spans="8:21" ht="45.75" customHeight="1" x14ac:dyDescent="0.25">
      <c r="N27" s="64" t="s">
        <v>1049</v>
      </c>
      <c r="R27" s="1415" t="s">
        <v>14</v>
      </c>
      <c r="S27" s="38" t="s">
        <v>133</v>
      </c>
    </row>
    <row r="28" spans="8:21" ht="45" customHeight="1" x14ac:dyDescent="0.25">
      <c r="N28" s="2" t="s">
        <v>1050</v>
      </c>
      <c r="R28" s="1415"/>
      <c r="S28" s="38" t="s">
        <v>134</v>
      </c>
    </row>
    <row r="29" spans="8:21" x14ac:dyDescent="0.25">
      <c r="N29" s="37" t="s">
        <v>1051</v>
      </c>
      <c r="R29" s="1415"/>
      <c r="S29" s="38" t="s">
        <v>135</v>
      </c>
    </row>
    <row r="30" spans="8:21" ht="30" x14ac:dyDescent="0.25">
      <c r="N30" s="37" t="s">
        <v>1052</v>
      </c>
      <c r="R30" s="1415"/>
      <c r="S30" s="38" t="s">
        <v>313</v>
      </c>
    </row>
    <row r="31" spans="8:21" ht="30" x14ac:dyDescent="0.25">
      <c r="N31" s="37" t="s">
        <v>1053</v>
      </c>
      <c r="R31" s="1415"/>
      <c r="S31" s="38" t="s">
        <v>170</v>
      </c>
    </row>
    <row r="32" spans="8:21" ht="30" x14ac:dyDescent="0.25">
      <c r="N32" s="64" t="s">
        <v>1054</v>
      </c>
      <c r="R32" s="1415"/>
      <c r="S32" s="38" t="s">
        <v>136</v>
      </c>
    </row>
    <row r="33" spans="2:19" x14ac:dyDescent="0.25">
      <c r="N33" s="37" t="s">
        <v>1055</v>
      </c>
      <c r="R33" s="1415"/>
      <c r="S33" s="38" t="s">
        <v>314</v>
      </c>
    </row>
    <row r="34" spans="2:19" x14ac:dyDescent="0.25">
      <c r="R34" s="1415"/>
      <c r="S34" s="38" t="s">
        <v>165</v>
      </c>
    </row>
    <row r="35" spans="2:19" ht="30" customHeight="1" x14ac:dyDescent="0.25">
      <c r="R35" s="1415"/>
      <c r="S35" s="36" t="s">
        <v>167</v>
      </c>
    </row>
    <row r="36" spans="2:19" x14ac:dyDescent="0.25">
      <c r="R36" s="1415"/>
      <c r="S36" s="36" t="s">
        <v>168</v>
      </c>
    </row>
    <row r="37" spans="2:19" x14ac:dyDescent="0.25">
      <c r="R37" s="1415"/>
      <c r="S37" s="36" t="s">
        <v>166</v>
      </c>
    </row>
    <row r="38" spans="2:19" ht="30" x14ac:dyDescent="0.25">
      <c r="R38" s="1415"/>
      <c r="S38" s="36" t="s">
        <v>222</v>
      </c>
    </row>
    <row r="39" spans="2:19" ht="30" x14ac:dyDescent="0.25">
      <c r="R39" s="1415"/>
      <c r="S39" s="36" t="s">
        <v>221</v>
      </c>
    </row>
    <row r="40" spans="2:19" x14ac:dyDescent="0.25">
      <c r="R40" s="1415"/>
      <c r="S40" s="36" t="s">
        <v>315</v>
      </c>
    </row>
    <row r="41" spans="2:19" ht="45" x14ac:dyDescent="0.25">
      <c r="R41" s="1415"/>
      <c r="S41" s="36" t="s">
        <v>316</v>
      </c>
    </row>
    <row r="42" spans="2:19" x14ac:dyDescent="0.25">
      <c r="R42" s="1415"/>
      <c r="S42" s="36" t="s">
        <v>317</v>
      </c>
    </row>
    <row r="43" spans="2:19" ht="45" x14ac:dyDescent="0.25">
      <c r="R43" s="1415"/>
      <c r="S43" s="36" t="s">
        <v>318</v>
      </c>
    </row>
    <row r="44" spans="2:19" ht="30" x14ac:dyDescent="0.25">
      <c r="R44" s="1415"/>
      <c r="S44" s="36" t="s">
        <v>319</v>
      </c>
    </row>
    <row r="45" spans="2:19" ht="30" x14ac:dyDescent="0.25">
      <c r="R45" s="1415"/>
      <c r="S45" s="36" t="s">
        <v>320</v>
      </c>
    </row>
    <row r="46" spans="2:19" x14ac:dyDescent="0.25">
      <c r="R46" s="1415"/>
      <c r="S46" s="36" t="s">
        <v>321</v>
      </c>
    </row>
    <row r="47" spans="2:19" ht="30" x14ac:dyDescent="0.25">
      <c r="B47" s="44"/>
      <c r="R47" s="1415"/>
      <c r="S47" s="36" t="s">
        <v>171</v>
      </c>
    </row>
    <row r="48" spans="2:19" ht="30" x14ac:dyDescent="0.25">
      <c r="R48" s="1416" t="s">
        <v>3</v>
      </c>
      <c r="S48" s="45" t="s">
        <v>120</v>
      </c>
    </row>
    <row r="49" spans="18:19" x14ac:dyDescent="0.25">
      <c r="R49" s="1416"/>
      <c r="S49" s="41" t="s">
        <v>121</v>
      </c>
    </row>
    <row r="50" spans="18:19" ht="30" x14ac:dyDescent="0.25">
      <c r="R50" s="1416"/>
      <c r="S50" s="41" t="s">
        <v>122</v>
      </c>
    </row>
    <row r="51" spans="18:19" ht="30" x14ac:dyDescent="0.25">
      <c r="R51" s="1416"/>
      <c r="S51" s="41" t="s">
        <v>123</v>
      </c>
    </row>
    <row r="52" spans="18:19" ht="45.75" thickBot="1" x14ac:dyDescent="0.3">
      <c r="R52" s="1417"/>
      <c r="S52" s="46" t="s">
        <v>124</v>
      </c>
    </row>
    <row r="53" spans="18:19" ht="30" x14ac:dyDescent="0.25">
      <c r="R53" s="1418" t="s">
        <v>125</v>
      </c>
      <c r="S53" s="40" t="s">
        <v>130</v>
      </c>
    </row>
    <row r="54" spans="18:19" ht="30" x14ac:dyDescent="0.25">
      <c r="R54" s="1416"/>
      <c r="S54" s="41" t="s">
        <v>137</v>
      </c>
    </row>
    <row r="55" spans="18:19" ht="45" x14ac:dyDescent="0.25">
      <c r="R55" s="1416"/>
      <c r="S55" s="41" t="s">
        <v>132</v>
      </c>
    </row>
    <row r="56" spans="18:19" ht="30" x14ac:dyDescent="0.25">
      <c r="R56" s="1416"/>
      <c r="S56" s="41" t="s">
        <v>138</v>
      </c>
    </row>
    <row r="57" spans="18:19" ht="30" x14ac:dyDescent="0.25">
      <c r="R57" s="1416"/>
      <c r="S57" s="41" t="s">
        <v>322</v>
      </c>
    </row>
    <row r="58" spans="18:19" ht="60" x14ac:dyDescent="0.25">
      <c r="R58" s="1416"/>
      <c r="S58" s="41" t="s">
        <v>323</v>
      </c>
    </row>
    <row r="59" spans="18:19" ht="45" x14ac:dyDescent="0.25">
      <c r="R59" s="1416"/>
      <c r="S59" s="41" t="s">
        <v>139</v>
      </c>
    </row>
    <row r="60" spans="18:19" ht="45" x14ac:dyDescent="0.25">
      <c r="R60" s="1416"/>
      <c r="S60" s="41" t="s">
        <v>324</v>
      </c>
    </row>
    <row r="61" spans="18:19" ht="30" x14ac:dyDescent="0.25">
      <c r="R61" s="1416"/>
      <c r="S61" s="41" t="s">
        <v>325</v>
      </c>
    </row>
    <row r="62" spans="18:19" ht="45" x14ac:dyDescent="0.25">
      <c r="R62" s="1416"/>
      <c r="S62" s="41" t="s">
        <v>140</v>
      </c>
    </row>
    <row r="63" spans="18:19" ht="45" x14ac:dyDescent="0.25">
      <c r="R63" s="1416"/>
      <c r="S63" s="43" t="s">
        <v>178</v>
      </c>
    </row>
    <row r="64" spans="18:19" x14ac:dyDescent="0.25">
      <c r="R64" s="1416"/>
      <c r="S64" s="43" t="s">
        <v>187</v>
      </c>
    </row>
    <row r="65" spans="18:19" ht="30" x14ac:dyDescent="0.25">
      <c r="R65" s="1416"/>
      <c r="S65" s="43" t="s">
        <v>233</v>
      </c>
    </row>
    <row r="66" spans="18:19" ht="60" x14ac:dyDescent="0.25">
      <c r="R66" s="1416"/>
      <c r="S66" s="47" t="s">
        <v>236</v>
      </c>
    </row>
    <row r="67" spans="18:19" ht="75" x14ac:dyDescent="0.25">
      <c r="R67" s="1416"/>
      <c r="S67" s="47" t="s">
        <v>235</v>
      </c>
    </row>
    <row r="68" spans="18:19" ht="45.75" thickBot="1" x14ac:dyDescent="0.3">
      <c r="R68" s="1416"/>
      <c r="S68" s="47" t="s">
        <v>234</v>
      </c>
    </row>
    <row r="69" spans="18:19" x14ac:dyDescent="0.25">
      <c r="R69" s="1407" t="s">
        <v>162</v>
      </c>
      <c r="S69" s="40" t="s">
        <v>172</v>
      </c>
    </row>
    <row r="70" spans="18:19" ht="45" x14ac:dyDescent="0.25">
      <c r="R70" s="1408"/>
      <c r="S70" s="41" t="s">
        <v>173</v>
      </c>
    </row>
    <row r="71" spans="18:19" x14ac:dyDescent="0.25">
      <c r="R71" s="1408"/>
      <c r="S71" s="41" t="s">
        <v>174</v>
      </c>
    </row>
    <row r="72" spans="18:19" ht="30" x14ac:dyDescent="0.25">
      <c r="R72" s="1408"/>
      <c r="S72" s="41" t="s">
        <v>159</v>
      </c>
    </row>
    <row r="73" spans="18:19" x14ac:dyDescent="0.25">
      <c r="R73" s="1408"/>
      <c r="S73" s="41" t="s">
        <v>160</v>
      </c>
    </row>
    <row r="74" spans="18:19" ht="30" x14ac:dyDescent="0.25">
      <c r="R74" s="1408"/>
      <c r="S74" s="41" t="s">
        <v>161</v>
      </c>
    </row>
    <row r="75" spans="18:19" ht="45" x14ac:dyDescent="0.25">
      <c r="R75" s="1408"/>
      <c r="S75" s="41" t="s">
        <v>175</v>
      </c>
    </row>
    <row r="76" spans="18:19" ht="15.75" thickBot="1" x14ac:dyDescent="0.3">
      <c r="R76" s="1409"/>
      <c r="S76" s="48"/>
    </row>
    <row r="77" spans="18:19" ht="30" x14ac:dyDescent="0.25">
      <c r="R77" s="1410" t="s">
        <v>1</v>
      </c>
      <c r="S77" s="49" t="s">
        <v>326</v>
      </c>
    </row>
    <row r="78" spans="18:19" ht="45" x14ac:dyDescent="0.25">
      <c r="R78" s="1411"/>
      <c r="S78" s="50" t="s">
        <v>237</v>
      </c>
    </row>
    <row r="79" spans="18:19" ht="30" x14ac:dyDescent="0.25">
      <c r="R79" s="1411"/>
      <c r="S79" s="50" t="s">
        <v>327</v>
      </c>
    </row>
    <row r="80" spans="18:19" ht="45.75" thickBot="1" x14ac:dyDescent="0.3">
      <c r="R80" s="1412"/>
      <c r="S80" s="50" t="s">
        <v>328</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20" t="s">
        <v>984</v>
      </c>
      <c r="B1" s="121" t="s">
        <v>987</v>
      </c>
      <c r="C1" s="121" t="s">
        <v>988</v>
      </c>
      <c r="D1" s="121" t="s">
        <v>989</v>
      </c>
      <c r="E1" s="121" t="s">
        <v>986</v>
      </c>
      <c r="F1" s="121" t="s">
        <v>993</v>
      </c>
      <c r="G1" s="121" t="s">
        <v>985</v>
      </c>
      <c r="H1" s="121" t="s">
        <v>991</v>
      </c>
      <c r="I1" s="121" t="s">
        <v>990</v>
      </c>
      <c r="J1" s="121" t="s">
        <v>992</v>
      </c>
      <c r="K1" s="122" t="s">
        <v>1003</v>
      </c>
    </row>
    <row r="2" spans="1:16" ht="28.5" x14ac:dyDescent="0.25">
      <c r="A2" s="113" t="s">
        <v>994</v>
      </c>
      <c r="B2" s="110">
        <v>0</v>
      </c>
      <c r="C2" s="110">
        <v>0</v>
      </c>
      <c r="D2" s="110">
        <v>0</v>
      </c>
      <c r="E2" s="110"/>
      <c r="F2" s="110"/>
      <c r="G2" s="110">
        <v>3</v>
      </c>
      <c r="H2" s="110"/>
      <c r="I2" s="110"/>
      <c r="J2" s="110"/>
      <c r="K2" s="114">
        <f>SUM(B2:J2)</f>
        <v>3</v>
      </c>
    </row>
    <row r="3" spans="1:16" x14ac:dyDescent="0.25">
      <c r="A3" s="113" t="s">
        <v>995</v>
      </c>
      <c r="B3" s="111">
        <v>905259596</v>
      </c>
      <c r="C3" s="111">
        <v>709814969</v>
      </c>
      <c r="D3" s="111">
        <v>40295380870</v>
      </c>
      <c r="E3" s="111">
        <v>1399424829</v>
      </c>
      <c r="F3" s="111">
        <v>12447687914</v>
      </c>
      <c r="G3" s="111">
        <v>1882022599</v>
      </c>
      <c r="H3" s="111">
        <v>2668206982</v>
      </c>
      <c r="I3" s="111">
        <v>0</v>
      </c>
      <c r="J3" s="111">
        <v>0</v>
      </c>
      <c r="K3" s="115">
        <f>SUM(B3:J3)</f>
        <v>60307797759</v>
      </c>
    </row>
    <row r="4" spans="1:16" x14ac:dyDescent="0.25">
      <c r="A4" s="113" t="s">
        <v>848</v>
      </c>
      <c r="B4" s="110">
        <v>0</v>
      </c>
      <c r="C4" s="110">
        <v>0</v>
      </c>
      <c r="D4" s="110">
        <v>0</v>
      </c>
      <c r="E4" s="110"/>
      <c r="F4" s="112"/>
      <c r="G4" s="112">
        <v>3</v>
      </c>
      <c r="H4" s="112"/>
      <c r="I4" s="112"/>
      <c r="J4" s="112"/>
      <c r="K4" s="114">
        <f t="shared" ref="K4:K13" si="0">SUM(B4:J4)</f>
        <v>3</v>
      </c>
    </row>
    <row r="5" spans="1:16" ht="28.5" x14ac:dyDescent="0.25">
      <c r="A5" s="113" t="s">
        <v>996</v>
      </c>
      <c r="B5" s="110">
        <v>0</v>
      </c>
      <c r="C5" s="110">
        <v>0</v>
      </c>
      <c r="D5" s="110">
        <v>0</v>
      </c>
      <c r="E5" s="110"/>
      <c r="F5" s="112"/>
      <c r="G5" s="112"/>
      <c r="H5" s="112"/>
      <c r="I5" s="112"/>
      <c r="J5" s="112"/>
      <c r="K5" s="114">
        <f t="shared" si="0"/>
        <v>0</v>
      </c>
    </row>
    <row r="6" spans="1:16" x14ac:dyDescent="0.25">
      <c r="A6" s="113" t="s">
        <v>997</v>
      </c>
      <c r="B6" s="110">
        <v>0</v>
      </c>
      <c r="C6" s="110">
        <v>0</v>
      </c>
      <c r="D6" s="110">
        <v>0</v>
      </c>
      <c r="E6" s="110"/>
      <c r="F6" s="112"/>
      <c r="G6" s="112"/>
      <c r="H6" s="112"/>
      <c r="I6" s="112"/>
      <c r="J6" s="112"/>
      <c r="K6" s="114">
        <f t="shared" si="0"/>
        <v>0</v>
      </c>
    </row>
    <row r="7" spans="1:16" x14ac:dyDescent="0.25">
      <c r="A7" s="113" t="s">
        <v>502</v>
      </c>
      <c r="B7" s="110">
        <v>0</v>
      </c>
      <c r="C7" s="110">
        <v>0</v>
      </c>
      <c r="D7" s="110">
        <v>0</v>
      </c>
      <c r="E7" s="110"/>
      <c r="F7" s="112">
        <v>1</v>
      </c>
      <c r="G7" s="112">
        <f>1+18</f>
        <v>19</v>
      </c>
      <c r="H7" s="112"/>
      <c r="I7" s="112"/>
      <c r="J7" s="112"/>
      <c r="K7" s="114">
        <f t="shared" si="0"/>
        <v>20</v>
      </c>
    </row>
    <row r="8" spans="1:16" x14ac:dyDescent="0.25">
      <c r="A8" s="113" t="s">
        <v>998</v>
      </c>
      <c r="B8" s="110">
        <v>0</v>
      </c>
      <c r="C8" s="110">
        <v>0</v>
      </c>
      <c r="D8" s="110">
        <v>0</v>
      </c>
      <c r="E8" s="110"/>
      <c r="F8" s="112"/>
      <c r="G8" s="112">
        <v>9</v>
      </c>
      <c r="H8" s="112"/>
      <c r="I8" s="112"/>
      <c r="J8" s="112"/>
      <c r="K8" s="114">
        <f t="shared" si="0"/>
        <v>9</v>
      </c>
    </row>
    <row r="9" spans="1:16" ht="28.5" x14ac:dyDescent="0.25">
      <c r="A9" s="113" t="s">
        <v>999</v>
      </c>
      <c r="B9" s="110">
        <v>0</v>
      </c>
      <c r="C9" s="110">
        <v>0</v>
      </c>
      <c r="D9" s="110">
        <v>0</v>
      </c>
      <c r="E9" s="110"/>
      <c r="F9" s="112"/>
      <c r="G9" s="112">
        <f>16+1+1+1</f>
        <v>19</v>
      </c>
      <c r="H9" s="112"/>
      <c r="I9" s="112"/>
      <c r="J9" s="112"/>
      <c r="K9" s="114">
        <f t="shared" si="0"/>
        <v>19</v>
      </c>
    </row>
    <row r="10" spans="1:16" ht="28.5" x14ac:dyDescent="0.25">
      <c r="A10" s="113" t="s">
        <v>336</v>
      </c>
      <c r="B10" s="110">
        <v>6</v>
      </c>
      <c r="C10" s="110">
        <v>0</v>
      </c>
      <c r="D10" s="110">
        <v>1</v>
      </c>
      <c r="E10" s="110"/>
      <c r="F10" s="112">
        <f>2+1</f>
        <v>3</v>
      </c>
      <c r="G10" s="112">
        <f>8+1</f>
        <v>9</v>
      </c>
      <c r="H10" s="112"/>
      <c r="I10" s="112">
        <v>8</v>
      </c>
      <c r="J10" s="112">
        <v>1</v>
      </c>
      <c r="K10" s="114">
        <f t="shared" si="0"/>
        <v>28</v>
      </c>
    </row>
    <row r="11" spans="1:16" ht="28.5" x14ac:dyDescent="0.25">
      <c r="A11" s="113" t="s">
        <v>331</v>
      </c>
      <c r="B11" s="110">
        <v>0</v>
      </c>
      <c r="C11" s="110">
        <v>0</v>
      </c>
      <c r="D11" s="110">
        <v>0</v>
      </c>
      <c r="E11" s="110"/>
      <c r="F11" s="112">
        <v>1</v>
      </c>
      <c r="G11" s="112"/>
      <c r="H11" s="112"/>
      <c r="I11" s="112"/>
      <c r="J11" s="112"/>
      <c r="K11" s="114">
        <f t="shared" si="0"/>
        <v>1</v>
      </c>
    </row>
    <row r="12" spans="1:16" ht="42.75" x14ac:dyDescent="0.25">
      <c r="A12" s="113" t="s">
        <v>1000</v>
      </c>
      <c r="B12" s="110">
        <v>0</v>
      </c>
      <c r="C12" s="110">
        <v>0</v>
      </c>
      <c r="D12" s="110">
        <v>0</v>
      </c>
      <c r="E12" s="110"/>
      <c r="F12" s="112">
        <v>2</v>
      </c>
      <c r="G12" s="112"/>
      <c r="H12" s="112"/>
      <c r="I12" s="112"/>
      <c r="J12" s="112"/>
      <c r="K12" s="114">
        <f t="shared" si="0"/>
        <v>2</v>
      </c>
    </row>
    <row r="13" spans="1:16" ht="28.5" x14ac:dyDescent="0.25">
      <c r="A13" s="113" t="s">
        <v>1001</v>
      </c>
      <c r="B13" s="110">
        <v>0</v>
      </c>
      <c r="C13" s="110">
        <v>0</v>
      </c>
      <c r="D13" s="110">
        <v>0</v>
      </c>
      <c r="E13" s="110"/>
      <c r="F13" s="112">
        <f>6+1+1</f>
        <v>8</v>
      </c>
      <c r="G13" s="112"/>
      <c r="H13" s="112"/>
      <c r="I13" s="112"/>
      <c r="J13" s="112"/>
      <c r="K13" s="114">
        <f t="shared" si="0"/>
        <v>8</v>
      </c>
    </row>
    <row r="14" spans="1:16" ht="15.75" thickBot="1" x14ac:dyDescent="0.3">
      <c r="A14" s="116" t="s">
        <v>1002</v>
      </c>
      <c r="B14" s="117">
        <v>2</v>
      </c>
      <c r="C14" s="117">
        <v>10</v>
      </c>
      <c r="D14" s="117">
        <v>9</v>
      </c>
      <c r="E14" s="117">
        <v>7</v>
      </c>
      <c r="F14" s="118">
        <f>13+1+1+6</f>
        <v>21</v>
      </c>
      <c r="G14" s="118">
        <v>6</v>
      </c>
      <c r="H14" s="118">
        <v>18</v>
      </c>
      <c r="I14" s="118">
        <v>3</v>
      </c>
      <c r="J14" s="118">
        <v>6</v>
      </c>
      <c r="K14" s="119">
        <f>SUM(B14:J14)</f>
        <v>82</v>
      </c>
    </row>
    <row r="15" spans="1:16" ht="6.75" customHeight="1" thickBot="1" x14ac:dyDescent="0.3">
      <c r="A15" s="101"/>
      <c r="B15" s="104"/>
      <c r="C15" s="104"/>
      <c r="D15" s="104"/>
      <c r="E15" s="104"/>
      <c r="F15" s="104"/>
      <c r="G15" s="104"/>
      <c r="H15" s="104"/>
      <c r="I15" s="104"/>
      <c r="J15" s="104"/>
      <c r="K15" s="104"/>
    </row>
    <row r="16" spans="1:16" ht="19.5" thickBot="1" x14ac:dyDescent="0.35">
      <c r="A16" s="105" t="s">
        <v>1004</v>
      </c>
      <c r="B16" s="108">
        <f>+B2+B4+B5+B6+B7+B8+B9+B10+B11+B12+B13+B14</f>
        <v>8</v>
      </c>
      <c r="C16" s="108">
        <f t="shared" ref="C16:J16" si="1">+C2+C4+C5+C6+C7+C8+C9+C10+C11+C12+C13+C14</f>
        <v>10</v>
      </c>
      <c r="D16" s="108">
        <f t="shared" si="1"/>
        <v>10</v>
      </c>
      <c r="E16" s="108">
        <f t="shared" si="1"/>
        <v>7</v>
      </c>
      <c r="F16" s="108">
        <f t="shared" si="1"/>
        <v>36</v>
      </c>
      <c r="G16" s="108">
        <f t="shared" si="1"/>
        <v>68</v>
      </c>
      <c r="H16" s="108">
        <f t="shared" si="1"/>
        <v>18</v>
      </c>
      <c r="I16" s="108">
        <f t="shared" si="1"/>
        <v>11</v>
      </c>
      <c r="J16" s="108">
        <f t="shared" si="1"/>
        <v>7</v>
      </c>
      <c r="K16" s="109">
        <f>+K2+K4+K5+K6+K7+K8+K9+K10+K11+K12+K13+K14</f>
        <v>175</v>
      </c>
      <c r="L16" s="88"/>
      <c r="M16" s="88"/>
      <c r="N16" s="88"/>
      <c r="O16" s="88"/>
      <c r="P16" s="88"/>
    </row>
    <row r="17" spans="1:14" ht="5.25" customHeight="1" thickBot="1" x14ac:dyDescent="0.35">
      <c r="K17" s="102"/>
    </row>
    <row r="18" spans="1:14" ht="19.5" thickBot="1" x14ac:dyDescent="0.35">
      <c r="A18" s="105" t="s">
        <v>1005</v>
      </c>
      <c r="B18" s="106">
        <f t="shared" ref="B18:K18" si="2">+B3</f>
        <v>905259596</v>
      </c>
      <c r="C18" s="106">
        <f t="shared" si="2"/>
        <v>709814969</v>
      </c>
      <c r="D18" s="106">
        <f t="shared" si="2"/>
        <v>40295380870</v>
      </c>
      <c r="E18" s="106">
        <f t="shared" si="2"/>
        <v>1399424829</v>
      </c>
      <c r="F18" s="106">
        <f t="shared" si="2"/>
        <v>12447687914</v>
      </c>
      <c r="G18" s="106">
        <f t="shared" si="2"/>
        <v>1882022599</v>
      </c>
      <c r="H18" s="106">
        <f t="shared" si="2"/>
        <v>2668206982</v>
      </c>
      <c r="I18" s="106">
        <f t="shared" si="2"/>
        <v>0</v>
      </c>
      <c r="J18" s="106">
        <f t="shared" si="2"/>
        <v>0</v>
      </c>
      <c r="K18" s="107">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62"/>
  <sheetViews>
    <sheetView showGridLines="0" workbookViewId="0">
      <selection activeCell="A5" sqref="A5"/>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472" hidden="1" customWidth="1"/>
    <col min="10" max="10" width="38.5703125" style="472" hidden="1" customWidth="1"/>
    <col min="11" max="11" width="36.140625" customWidth="1"/>
  </cols>
  <sheetData>
    <row r="2" spans="1:10" x14ac:dyDescent="0.25">
      <c r="A2" s="1422" t="s">
        <v>1249</v>
      </c>
      <c r="B2" s="1422"/>
      <c r="C2" s="1422"/>
      <c r="D2" s="1422"/>
      <c r="E2" s="1422"/>
      <c r="F2" s="1422"/>
      <c r="G2" s="1422"/>
    </row>
    <row r="3" spans="1:10" x14ac:dyDescent="0.25">
      <c r="A3" s="22"/>
      <c r="B3" s="22"/>
      <c r="C3" s="22"/>
      <c r="D3" s="22"/>
      <c r="E3" s="22"/>
      <c r="F3" s="22"/>
      <c r="G3" s="22"/>
    </row>
    <row r="4" spans="1:10" x14ac:dyDescent="0.25">
      <c r="A4" s="468" t="s">
        <v>1250</v>
      </c>
      <c r="B4" s="468" t="s">
        <v>1251</v>
      </c>
      <c r="C4" s="468" t="s">
        <v>1252</v>
      </c>
      <c r="D4" s="468" t="s">
        <v>1253</v>
      </c>
      <c r="E4" s="468" t="s">
        <v>1254</v>
      </c>
      <c r="F4" s="468" t="s">
        <v>1255</v>
      </c>
      <c r="G4" s="468" t="s">
        <v>1256</v>
      </c>
      <c r="I4" s="1421" t="s">
        <v>1262</v>
      </c>
      <c r="J4" s="1421"/>
    </row>
    <row r="5" spans="1:10" ht="76.5" x14ac:dyDescent="0.25">
      <c r="A5" s="469">
        <v>1</v>
      </c>
      <c r="B5" s="510">
        <v>43495</v>
      </c>
      <c r="C5" s="470" t="s">
        <v>1257</v>
      </c>
      <c r="D5" s="470" t="s">
        <v>1258</v>
      </c>
      <c r="E5" s="471" t="s">
        <v>231</v>
      </c>
      <c r="F5" s="471" t="s">
        <v>1260</v>
      </c>
      <c r="G5" s="471" t="s">
        <v>1260</v>
      </c>
    </row>
    <row r="6" spans="1:10" ht="183.75" customHeight="1" x14ac:dyDescent="0.25">
      <c r="A6" s="1425">
        <v>2</v>
      </c>
      <c r="B6" s="1420">
        <v>43552</v>
      </c>
      <c r="C6" s="471" t="s">
        <v>1314</v>
      </c>
      <c r="D6" s="1423" t="s">
        <v>1259</v>
      </c>
      <c r="E6" s="1424" t="s">
        <v>1438</v>
      </c>
      <c r="F6" s="1424" t="s">
        <v>1261</v>
      </c>
      <c r="G6" s="1424" t="s">
        <v>1313</v>
      </c>
      <c r="H6">
        <v>0</v>
      </c>
    </row>
    <row r="7" spans="1:10" ht="76.5" x14ac:dyDescent="0.25">
      <c r="A7" s="1425"/>
      <c r="B7" s="1420"/>
      <c r="C7" s="471" t="s">
        <v>1309</v>
      </c>
      <c r="D7" s="1423"/>
      <c r="E7" s="1424"/>
      <c r="F7" s="1424"/>
      <c r="G7" s="1424"/>
      <c r="H7">
        <v>3</v>
      </c>
      <c r="I7" s="473" t="s">
        <v>1263</v>
      </c>
      <c r="J7" s="473" t="s">
        <v>1264</v>
      </c>
    </row>
    <row r="8" spans="1:10" ht="382.5" x14ac:dyDescent="0.25">
      <c r="A8" s="1425"/>
      <c r="B8" s="545">
        <v>43571</v>
      </c>
      <c r="C8" s="509" t="s">
        <v>1389</v>
      </c>
      <c r="D8" s="509" t="s">
        <v>1391</v>
      </c>
      <c r="E8" s="509" t="s">
        <v>1391</v>
      </c>
      <c r="F8" s="509" t="s">
        <v>1390</v>
      </c>
      <c r="G8" s="509" t="s">
        <v>1390</v>
      </c>
      <c r="I8" s="473"/>
      <c r="J8" s="473"/>
    </row>
    <row r="9" spans="1:10" ht="76.5" x14ac:dyDescent="0.25">
      <c r="A9" s="1425"/>
      <c r="B9" s="545">
        <v>43588</v>
      </c>
      <c r="C9" s="509" t="s">
        <v>1387</v>
      </c>
      <c r="D9" s="509" t="s">
        <v>1386</v>
      </c>
      <c r="E9" s="509" t="s">
        <v>1386</v>
      </c>
      <c r="F9" s="509" t="s">
        <v>1386</v>
      </c>
      <c r="G9" s="509" t="s">
        <v>1386</v>
      </c>
    </row>
    <row r="10" spans="1:10" ht="102" x14ac:dyDescent="0.25">
      <c r="A10" s="1425"/>
      <c r="B10" s="545">
        <v>43588</v>
      </c>
      <c r="C10" s="509" t="s">
        <v>1420</v>
      </c>
      <c r="D10" s="509" t="s">
        <v>1418</v>
      </c>
      <c r="E10" s="544" t="s">
        <v>1418</v>
      </c>
      <c r="F10" s="544" t="s">
        <v>1418</v>
      </c>
      <c r="G10" s="509" t="s">
        <v>1419</v>
      </c>
    </row>
    <row r="11" spans="1:10" ht="102" x14ac:dyDescent="0.25">
      <c r="A11" s="592">
        <v>3</v>
      </c>
      <c r="B11" s="575">
        <v>43598</v>
      </c>
      <c r="C11" s="574" t="s">
        <v>1432</v>
      </c>
      <c r="D11" s="574" t="s">
        <v>1433</v>
      </c>
      <c r="E11" s="593" t="s">
        <v>1438</v>
      </c>
      <c r="F11" s="574" t="s">
        <v>1434</v>
      </c>
      <c r="G11" s="574" t="s">
        <v>1313</v>
      </c>
    </row>
    <row r="12" spans="1:10" ht="140.25" x14ac:dyDescent="0.25">
      <c r="A12" s="1419">
        <v>4</v>
      </c>
      <c r="B12" s="1420">
        <v>43628</v>
      </c>
      <c r="C12" s="576" t="s">
        <v>1449</v>
      </c>
      <c r="D12" s="591" t="s">
        <v>1437</v>
      </c>
      <c r="E12" s="593" t="s">
        <v>1438</v>
      </c>
      <c r="F12" s="591" t="s">
        <v>1437</v>
      </c>
      <c r="G12" s="591" t="s">
        <v>1313</v>
      </c>
    </row>
    <row r="13" spans="1:10" ht="127.5" x14ac:dyDescent="0.25">
      <c r="A13" s="1419"/>
      <c r="B13" s="1420"/>
      <c r="C13" s="576" t="s">
        <v>1442</v>
      </c>
      <c r="D13" s="591" t="s">
        <v>1437</v>
      </c>
      <c r="E13" s="593" t="s">
        <v>1438</v>
      </c>
      <c r="F13" s="591" t="s">
        <v>1437</v>
      </c>
      <c r="G13" s="591" t="s">
        <v>1313</v>
      </c>
    </row>
    <row r="14" spans="1:10" ht="89.25" x14ac:dyDescent="0.25">
      <c r="A14" s="1419"/>
      <c r="B14" s="1420"/>
      <c r="C14" s="576" t="s">
        <v>1453</v>
      </c>
      <c r="D14" s="591" t="s">
        <v>1437</v>
      </c>
      <c r="E14" s="593" t="s">
        <v>1438</v>
      </c>
      <c r="F14" s="591" t="s">
        <v>1437</v>
      </c>
      <c r="G14" s="591" t="s">
        <v>1313</v>
      </c>
    </row>
    <row r="15" spans="1:10" ht="89.25" x14ac:dyDescent="0.25">
      <c r="A15" s="1419"/>
      <c r="B15" s="1420"/>
      <c r="C15" s="576" t="s">
        <v>1476</v>
      </c>
      <c r="D15" s="591" t="s">
        <v>1437</v>
      </c>
      <c r="E15" s="593" t="s">
        <v>1438</v>
      </c>
      <c r="F15" s="591" t="s">
        <v>1437</v>
      </c>
      <c r="G15" s="591" t="s">
        <v>1313</v>
      </c>
    </row>
    <row r="16" spans="1:10" ht="89.25" x14ac:dyDescent="0.25">
      <c r="A16" s="1419"/>
      <c r="B16" s="1420"/>
      <c r="C16" s="576" t="s">
        <v>1481</v>
      </c>
      <c r="D16" s="576" t="s">
        <v>1482</v>
      </c>
      <c r="E16" s="593" t="s">
        <v>1438</v>
      </c>
      <c r="F16" s="576" t="s">
        <v>1483</v>
      </c>
      <c r="G16" s="591" t="s">
        <v>1313</v>
      </c>
    </row>
    <row r="17" spans="1:7" ht="89.25" x14ac:dyDescent="0.25">
      <c r="A17" s="1419"/>
      <c r="B17" s="1420"/>
      <c r="C17" s="576" t="s">
        <v>1487</v>
      </c>
      <c r="D17" s="576" t="s">
        <v>1482</v>
      </c>
      <c r="E17" s="593" t="s">
        <v>1438</v>
      </c>
      <c r="F17" s="576" t="s">
        <v>1483</v>
      </c>
      <c r="G17" s="591" t="s">
        <v>1313</v>
      </c>
    </row>
    <row r="18" spans="1:7" ht="102" x14ac:dyDescent="0.25">
      <c r="A18" s="1419"/>
      <c r="B18" s="1420"/>
      <c r="C18" s="576" t="s">
        <v>1495</v>
      </c>
      <c r="D18" s="576" t="s">
        <v>1482</v>
      </c>
      <c r="E18" s="593" t="s">
        <v>1438</v>
      </c>
      <c r="F18" s="576" t="s">
        <v>1483</v>
      </c>
      <c r="G18" s="591" t="s">
        <v>1313</v>
      </c>
    </row>
    <row r="19" spans="1:7" ht="127.5" x14ac:dyDescent="0.25">
      <c r="A19" s="1419"/>
      <c r="B19" s="1420"/>
      <c r="C19" s="576" t="s">
        <v>1496</v>
      </c>
      <c r="D19" s="576" t="s">
        <v>1482</v>
      </c>
      <c r="E19" s="593" t="s">
        <v>1438</v>
      </c>
      <c r="F19" s="576" t="s">
        <v>1483</v>
      </c>
      <c r="G19" s="591" t="s">
        <v>1313</v>
      </c>
    </row>
    <row r="20" spans="1:7" ht="89.25" x14ac:dyDescent="0.25">
      <c r="A20" s="1419"/>
      <c r="B20" s="1420"/>
      <c r="C20" s="576" t="s">
        <v>1497</v>
      </c>
      <c r="D20" s="591" t="s">
        <v>1433</v>
      </c>
      <c r="E20" s="593" t="s">
        <v>1438</v>
      </c>
      <c r="F20" s="591" t="s">
        <v>1434</v>
      </c>
      <c r="G20" s="591" t="s">
        <v>1313</v>
      </c>
    </row>
    <row r="21" spans="1:7" ht="165.75" x14ac:dyDescent="0.25">
      <c r="A21" s="1419"/>
      <c r="B21" s="1420"/>
      <c r="C21" s="576" t="s">
        <v>1501</v>
      </c>
      <c r="D21" s="591" t="s">
        <v>1502</v>
      </c>
      <c r="E21" s="593" t="s">
        <v>1438</v>
      </c>
      <c r="F21" s="576" t="s">
        <v>1259</v>
      </c>
      <c r="G21" s="591" t="s">
        <v>1313</v>
      </c>
    </row>
    <row r="22" spans="1:7" ht="114.75" x14ac:dyDescent="0.25">
      <c r="A22" s="1419"/>
      <c r="B22" s="1420"/>
      <c r="C22" s="576" t="s">
        <v>1503</v>
      </c>
      <c r="D22" s="591" t="s">
        <v>1502</v>
      </c>
      <c r="E22" s="593" t="s">
        <v>1438</v>
      </c>
      <c r="F22" s="576" t="s">
        <v>1259</v>
      </c>
      <c r="G22" s="591" t="s">
        <v>1313</v>
      </c>
    </row>
    <row r="23" spans="1:7" ht="114.75" x14ac:dyDescent="0.25">
      <c r="A23" s="1419"/>
      <c r="B23" s="1420"/>
      <c r="C23" s="576" t="s">
        <v>1504</v>
      </c>
      <c r="D23" s="591" t="s">
        <v>1502</v>
      </c>
      <c r="E23" s="593" t="s">
        <v>1438</v>
      </c>
      <c r="F23" s="576" t="s">
        <v>1259</v>
      </c>
      <c r="G23" s="591" t="s">
        <v>1313</v>
      </c>
    </row>
    <row r="24" spans="1:7" ht="114.75" x14ac:dyDescent="0.25">
      <c r="A24" s="1419"/>
      <c r="B24" s="1420"/>
      <c r="C24" s="576" t="s">
        <v>1508</v>
      </c>
      <c r="D24" s="591" t="s">
        <v>1502</v>
      </c>
      <c r="E24" s="593" t="s">
        <v>1438</v>
      </c>
      <c r="F24" s="576" t="s">
        <v>1259</v>
      </c>
      <c r="G24" s="591" t="s">
        <v>1313</v>
      </c>
    </row>
    <row r="25" spans="1:7" ht="89.25" x14ac:dyDescent="0.25">
      <c r="A25" s="1419"/>
      <c r="B25" s="1420"/>
      <c r="C25" s="576" t="s">
        <v>1510</v>
      </c>
      <c r="D25" s="591" t="s">
        <v>1502</v>
      </c>
      <c r="E25" s="593" t="s">
        <v>1438</v>
      </c>
      <c r="F25" s="576" t="s">
        <v>1259</v>
      </c>
      <c r="G25" s="591" t="s">
        <v>1313</v>
      </c>
    </row>
    <row r="26" spans="1:7" ht="229.5" x14ac:dyDescent="0.25">
      <c r="A26" s="1419"/>
      <c r="B26" s="1420"/>
      <c r="C26" s="576" t="s">
        <v>1513</v>
      </c>
      <c r="D26" s="591" t="s">
        <v>1502</v>
      </c>
      <c r="E26" s="593" t="s">
        <v>1438</v>
      </c>
      <c r="F26" s="576" t="s">
        <v>1259</v>
      </c>
      <c r="G26" s="591" t="s">
        <v>1313</v>
      </c>
    </row>
    <row r="27" spans="1:7" ht="89.25" x14ac:dyDescent="0.25">
      <c r="A27" s="1419"/>
      <c r="B27" s="1420"/>
      <c r="C27" s="576" t="s">
        <v>1514</v>
      </c>
      <c r="D27" s="591" t="s">
        <v>1502</v>
      </c>
      <c r="E27" s="593" t="s">
        <v>1438</v>
      </c>
      <c r="F27" s="576" t="s">
        <v>1259</v>
      </c>
      <c r="G27" s="591" t="s">
        <v>1313</v>
      </c>
    </row>
    <row r="28" spans="1:7" ht="140.25" x14ac:dyDescent="0.25">
      <c r="A28" s="1419"/>
      <c r="B28" s="1420"/>
      <c r="C28" s="576" t="s">
        <v>1517</v>
      </c>
      <c r="D28" s="591" t="s">
        <v>1515</v>
      </c>
      <c r="E28" s="593" t="s">
        <v>1438</v>
      </c>
      <c r="F28" s="576" t="s">
        <v>1516</v>
      </c>
      <c r="G28" s="591" t="s">
        <v>1313</v>
      </c>
    </row>
    <row r="29" spans="1:7" ht="102" x14ac:dyDescent="0.25">
      <c r="A29" s="1419"/>
      <c r="B29" s="1420"/>
      <c r="C29" s="576" t="s">
        <v>1518</v>
      </c>
      <c r="D29" s="591" t="s">
        <v>1515</v>
      </c>
      <c r="E29" s="593" t="s">
        <v>1438</v>
      </c>
      <c r="F29" s="576" t="s">
        <v>1516</v>
      </c>
      <c r="G29" s="591" t="s">
        <v>1313</v>
      </c>
    </row>
    <row r="30" spans="1:7" ht="90" x14ac:dyDescent="0.25">
      <c r="A30" s="1419"/>
      <c r="B30" s="1420"/>
      <c r="C30" s="576" t="s">
        <v>1521</v>
      </c>
      <c r="D30" s="63" t="s">
        <v>1519</v>
      </c>
      <c r="E30" s="593" t="s">
        <v>1438</v>
      </c>
      <c r="F30" s="576" t="s">
        <v>1520</v>
      </c>
      <c r="G30" s="591" t="s">
        <v>1313</v>
      </c>
    </row>
    <row r="31" spans="1:7" ht="90" x14ac:dyDescent="0.25">
      <c r="A31" s="1419"/>
      <c r="B31" s="1420"/>
      <c r="C31" s="576" t="s">
        <v>1526</v>
      </c>
      <c r="D31" s="63" t="s">
        <v>1519</v>
      </c>
      <c r="E31" s="593" t="s">
        <v>1438</v>
      </c>
      <c r="F31" s="576" t="s">
        <v>1520</v>
      </c>
      <c r="G31" s="591" t="s">
        <v>1313</v>
      </c>
    </row>
    <row r="32" spans="1:7" ht="178.5" x14ac:dyDescent="0.25">
      <c r="A32" s="1419"/>
      <c r="B32" s="1420"/>
      <c r="C32" s="576" t="s">
        <v>1606</v>
      </c>
      <c r="D32" s="63" t="s">
        <v>1519</v>
      </c>
      <c r="E32" s="593" t="s">
        <v>1438</v>
      </c>
      <c r="F32" s="576" t="s">
        <v>1520</v>
      </c>
      <c r="G32" s="591" t="s">
        <v>1313</v>
      </c>
    </row>
    <row r="33" spans="1:7" ht="89.25" x14ac:dyDescent="0.25">
      <c r="A33" s="1419"/>
      <c r="B33" s="1420"/>
      <c r="C33" s="576" t="s">
        <v>1527</v>
      </c>
      <c r="D33" s="576" t="s">
        <v>1520</v>
      </c>
      <c r="E33" s="593" t="s">
        <v>1438</v>
      </c>
      <c r="F33" s="576" t="s">
        <v>1529</v>
      </c>
      <c r="G33" s="591" t="s">
        <v>1313</v>
      </c>
    </row>
    <row r="34" spans="1:7" ht="89.25" x14ac:dyDescent="0.25">
      <c r="A34" s="1419"/>
      <c r="B34" s="1420"/>
      <c r="C34" s="576" t="s">
        <v>1528</v>
      </c>
      <c r="D34" s="576" t="s">
        <v>1520</v>
      </c>
      <c r="E34" s="593" t="s">
        <v>1438</v>
      </c>
      <c r="F34" s="576" t="s">
        <v>1529</v>
      </c>
      <c r="G34" s="591" t="s">
        <v>1313</v>
      </c>
    </row>
    <row r="35" spans="1:7" ht="102" x14ac:dyDescent="0.25">
      <c r="A35" s="1419"/>
      <c r="B35" s="1420"/>
      <c r="C35" s="576" t="s">
        <v>1532</v>
      </c>
      <c r="D35" s="576" t="s">
        <v>1419</v>
      </c>
      <c r="E35" s="593" t="s">
        <v>1438</v>
      </c>
      <c r="F35" s="576" t="s">
        <v>1533</v>
      </c>
      <c r="G35" s="591" t="s">
        <v>1313</v>
      </c>
    </row>
    <row r="36" spans="1:7" ht="89.25" x14ac:dyDescent="0.25">
      <c r="A36" s="1419"/>
      <c r="B36" s="1420"/>
      <c r="C36" s="576" t="s">
        <v>1534</v>
      </c>
      <c r="D36" s="576" t="s">
        <v>1419</v>
      </c>
      <c r="E36" s="593" t="s">
        <v>1438</v>
      </c>
      <c r="F36" s="576" t="s">
        <v>1533</v>
      </c>
      <c r="G36" s="591" t="s">
        <v>1313</v>
      </c>
    </row>
    <row r="37" spans="1:7" ht="89.25" x14ac:dyDescent="0.25">
      <c r="A37" s="1419"/>
      <c r="B37" s="1420"/>
      <c r="C37" s="576" t="s">
        <v>1536</v>
      </c>
      <c r="D37" s="576" t="s">
        <v>1419</v>
      </c>
      <c r="E37" s="593" t="s">
        <v>1438</v>
      </c>
      <c r="F37" s="576" t="s">
        <v>1533</v>
      </c>
      <c r="G37" s="591" t="s">
        <v>1313</v>
      </c>
    </row>
    <row r="38" spans="1:7" ht="90" x14ac:dyDescent="0.25">
      <c r="A38" s="1419"/>
      <c r="B38" s="1420"/>
      <c r="C38" s="56" t="s">
        <v>1540</v>
      </c>
      <c r="D38" s="576" t="s">
        <v>1419</v>
      </c>
      <c r="E38" s="593" t="s">
        <v>1438</v>
      </c>
      <c r="F38" s="576" t="s">
        <v>1533</v>
      </c>
      <c r="G38" s="591" t="s">
        <v>1313</v>
      </c>
    </row>
    <row r="39" spans="1:7" ht="89.25" x14ac:dyDescent="0.25">
      <c r="A39" s="1419"/>
      <c r="B39" s="1420"/>
      <c r="C39" s="576" t="s">
        <v>1544</v>
      </c>
      <c r="D39" s="576" t="s">
        <v>1419</v>
      </c>
      <c r="E39" s="593" t="s">
        <v>1438</v>
      </c>
      <c r="F39" s="576" t="s">
        <v>1533</v>
      </c>
      <c r="G39" s="591" t="s">
        <v>1313</v>
      </c>
    </row>
    <row r="40" spans="1:7" ht="140.25" x14ac:dyDescent="0.25">
      <c r="A40" s="1419"/>
      <c r="B40" s="1420"/>
      <c r="C40" s="576" t="s">
        <v>1546</v>
      </c>
      <c r="D40" s="576" t="s">
        <v>1419</v>
      </c>
      <c r="E40" s="593" t="s">
        <v>1438</v>
      </c>
      <c r="F40" s="576" t="s">
        <v>1533</v>
      </c>
      <c r="G40" s="591" t="s">
        <v>1313</v>
      </c>
    </row>
    <row r="41" spans="1:7" ht="89.25" x14ac:dyDescent="0.25">
      <c r="A41" s="1419"/>
      <c r="B41" s="1420"/>
      <c r="C41" s="576" t="s">
        <v>1548</v>
      </c>
      <c r="D41" s="576" t="s">
        <v>1419</v>
      </c>
      <c r="E41" s="593" t="s">
        <v>1438</v>
      </c>
      <c r="F41" s="576" t="s">
        <v>1533</v>
      </c>
      <c r="G41" s="591" t="s">
        <v>1313</v>
      </c>
    </row>
    <row r="42" spans="1:7" ht="89.25" x14ac:dyDescent="0.25">
      <c r="A42" s="1419"/>
      <c r="B42" s="1420"/>
      <c r="C42" s="576" t="s">
        <v>1550</v>
      </c>
      <c r="D42" s="576" t="s">
        <v>1419</v>
      </c>
      <c r="E42" s="593" t="s">
        <v>1438</v>
      </c>
      <c r="F42" s="576" t="s">
        <v>1533</v>
      </c>
      <c r="G42" s="591" t="s">
        <v>1313</v>
      </c>
    </row>
    <row r="43" spans="1:7" ht="89.25" x14ac:dyDescent="0.25">
      <c r="A43" s="1419"/>
      <c r="B43" s="1420"/>
      <c r="C43" s="576" t="s">
        <v>1552</v>
      </c>
      <c r="D43" s="576" t="s">
        <v>1419</v>
      </c>
      <c r="E43" s="593" t="s">
        <v>1438</v>
      </c>
      <c r="F43" s="576" t="s">
        <v>1533</v>
      </c>
      <c r="G43" s="591" t="s">
        <v>1313</v>
      </c>
    </row>
    <row r="44" spans="1:7" ht="159" customHeight="1" x14ac:dyDescent="0.25">
      <c r="A44" s="1419"/>
      <c r="B44" s="1420"/>
      <c r="C44" s="576" t="s">
        <v>1555</v>
      </c>
      <c r="D44" s="576" t="s">
        <v>1419</v>
      </c>
      <c r="E44" s="593" t="s">
        <v>1438</v>
      </c>
      <c r="F44" s="576" t="s">
        <v>1533</v>
      </c>
      <c r="G44" s="591" t="s">
        <v>1313</v>
      </c>
    </row>
    <row r="45" spans="1:7" ht="127.5" x14ac:dyDescent="0.25">
      <c r="A45" s="1419"/>
      <c r="B45" s="1420"/>
      <c r="C45" s="576" t="s">
        <v>1558</v>
      </c>
      <c r="D45" s="576" t="s">
        <v>1419</v>
      </c>
      <c r="E45" s="593" t="s">
        <v>1438</v>
      </c>
      <c r="F45" s="576" t="s">
        <v>1533</v>
      </c>
      <c r="G45" s="591" t="s">
        <v>1313</v>
      </c>
    </row>
    <row r="46" spans="1:7" ht="89.25" x14ac:dyDescent="0.25">
      <c r="A46" s="1419"/>
      <c r="B46" s="1420"/>
      <c r="C46" s="576" t="s">
        <v>1559</v>
      </c>
      <c r="D46" s="576" t="s">
        <v>1419</v>
      </c>
      <c r="E46" s="593" t="s">
        <v>1438</v>
      </c>
      <c r="F46" s="576" t="s">
        <v>1533</v>
      </c>
      <c r="G46" s="591" t="s">
        <v>1313</v>
      </c>
    </row>
    <row r="47" spans="1:7" ht="127.5" x14ac:dyDescent="0.25">
      <c r="A47" s="1419"/>
      <c r="B47" s="1420"/>
      <c r="C47" s="576" t="s">
        <v>1561</v>
      </c>
      <c r="D47" s="576" t="s">
        <v>1419</v>
      </c>
      <c r="E47" s="593" t="s">
        <v>1438</v>
      </c>
      <c r="F47" s="576" t="s">
        <v>1533</v>
      </c>
      <c r="G47" s="591" t="s">
        <v>1313</v>
      </c>
    </row>
    <row r="48" spans="1:7" ht="89.25" x14ac:dyDescent="0.25">
      <c r="A48" s="1419"/>
      <c r="B48" s="1420"/>
      <c r="C48" s="576" t="s">
        <v>1563</v>
      </c>
      <c r="D48" s="576" t="s">
        <v>1419</v>
      </c>
      <c r="E48" s="593" t="s">
        <v>1438</v>
      </c>
      <c r="F48" s="576" t="s">
        <v>1533</v>
      </c>
      <c r="G48" s="591" t="s">
        <v>1313</v>
      </c>
    </row>
    <row r="49" spans="1:7" ht="89.25" x14ac:dyDescent="0.25">
      <c r="A49" s="1419"/>
      <c r="B49" s="1420"/>
      <c r="C49" s="576" t="s">
        <v>1564</v>
      </c>
      <c r="D49" s="576" t="s">
        <v>1566</v>
      </c>
      <c r="E49" s="593" t="s">
        <v>1438</v>
      </c>
      <c r="F49" s="63" t="s">
        <v>1565</v>
      </c>
      <c r="G49" s="591" t="s">
        <v>1313</v>
      </c>
    </row>
    <row r="50" spans="1:7" ht="89.25" x14ac:dyDescent="0.25">
      <c r="A50" s="1419"/>
      <c r="B50" s="1420"/>
      <c r="C50" s="576" t="s">
        <v>1567</v>
      </c>
      <c r="D50" s="576" t="s">
        <v>1566</v>
      </c>
      <c r="E50" s="593" t="s">
        <v>1438</v>
      </c>
      <c r="F50" s="63" t="s">
        <v>1565</v>
      </c>
      <c r="G50" s="591" t="s">
        <v>1313</v>
      </c>
    </row>
    <row r="51" spans="1:7" ht="89.25" x14ac:dyDescent="0.25">
      <c r="A51" s="1419"/>
      <c r="B51" s="1420"/>
      <c r="C51" s="576" t="s">
        <v>1568</v>
      </c>
      <c r="D51" s="576" t="s">
        <v>1566</v>
      </c>
      <c r="E51" s="593" t="s">
        <v>1438</v>
      </c>
      <c r="F51" s="63" t="s">
        <v>1565</v>
      </c>
      <c r="G51" s="591" t="s">
        <v>1313</v>
      </c>
    </row>
    <row r="52" spans="1:7" ht="89.25" x14ac:dyDescent="0.25">
      <c r="A52" s="1419"/>
      <c r="B52" s="1420"/>
      <c r="C52" s="576" t="s">
        <v>1570</v>
      </c>
      <c r="D52" s="576" t="s">
        <v>1566</v>
      </c>
      <c r="E52" s="593" t="s">
        <v>1438</v>
      </c>
      <c r="F52" s="63" t="s">
        <v>1565</v>
      </c>
      <c r="G52" s="591" t="s">
        <v>1313</v>
      </c>
    </row>
    <row r="53" spans="1:7" ht="127.5" x14ac:dyDescent="0.25">
      <c r="A53" s="1419"/>
      <c r="B53" s="1420"/>
      <c r="C53" s="576" t="s">
        <v>1571</v>
      </c>
      <c r="D53" s="576" t="s">
        <v>1566</v>
      </c>
      <c r="E53" s="593" t="s">
        <v>1438</v>
      </c>
      <c r="F53" s="63" t="s">
        <v>1565</v>
      </c>
      <c r="G53" s="591" t="s">
        <v>1313</v>
      </c>
    </row>
    <row r="54" spans="1:7" ht="89.25" x14ac:dyDescent="0.25">
      <c r="A54" s="1419"/>
      <c r="B54" s="1420"/>
      <c r="C54" s="576" t="s">
        <v>1572</v>
      </c>
      <c r="D54" s="576" t="s">
        <v>1566</v>
      </c>
      <c r="E54" s="593" t="s">
        <v>1438</v>
      </c>
      <c r="F54" s="63" t="s">
        <v>1565</v>
      </c>
      <c r="G54" s="591" t="s">
        <v>1313</v>
      </c>
    </row>
    <row r="55" spans="1:7" ht="89.25" x14ac:dyDescent="0.25">
      <c r="A55" s="1419"/>
      <c r="B55" s="1420"/>
      <c r="C55" s="576" t="s">
        <v>1574</v>
      </c>
      <c r="D55" s="576" t="s">
        <v>1566</v>
      </c>
      <c r="E55" s="593" t="s">
        <v>1438</v>
      </c>
      <c r="F55" s="63" t="s">
        <v>1565</v>
      </c>
      <c r="G55" s="591" t="s">
        <v>1313</v>
      </c>
    </row>
    <row r="56" spans="1:7" ht="153" x14ac:dyDescent="0.25">
      <c r="A56" s="1419"/>
      <c r="B56" s="1420"/>
      <c r="C56" s="576" t="s">
        <v>1596</v>
      </c>
      <c r="D56" s="576" t="s">
        <v>1566</v>
      </c>
      <c r="E56" s="593" t="s">
        <v>1438</v>
      </c>
      <c r="F56" s="63" t="s">
        <v>1565</v>
      </c>
      <c r="G56" s="591" t="s">
        <v>1313</v>
      </c>
    </row>
    <row r="57" spans="1:7" ht="89.25" x14ac:dyDescent="0.25">
      <c r="A57" s="1419"/>
      <c r="B57" s="1420"/>
      <c r="C57" s="576" t="s">
        <v>1580</v>
      </c>
      <c r="D57" s="576" t="s">
        <v>1566</v>
      </c>
      <c r="E57" s="593" t="s">
        <v>1438</v>
      </c>
      <c r="F57" s="63" t="s">
        <v>1565</v>
      </c>
      <c r="G57" s="591" t="s">
        <v>1313</v>
      </c>
    </row>
    <row r="58" spans="1:7" ht="153" x14ac:dyDescent="0.25">
      <c r="A58" s="1419"/>
      <c r="B58" s="1420"/>
      <c r="C58" s="576" t="s">
        <v>1597</v>
      </c>
      <c r="D58" s="576" t="s">
        <v>1566</v>
      </c>
      <c r="E58" s="593" t="s">
        <v>1438</v>
      </c>
      <c r="F58" s="63" t="s">
        <v>1565</v>
      </c>
      <c r="G58" s="591" t="s">
        <v>1313</v>
      </c>
    </row>
    <row r="59" spans="1:7" ht="89.25" x14ac:dyDescent="0.25">
      <c r="A59" s="1419"/>
      <c r="B59" s="1420"/>
      <c r="C59" s="576" t="s">
        <v>1598</v>
      </c>
      <c r="D59" s="576" t="s">
        <v>1566</v>
      </c>
      <c r="E59" s="593" t="s">
        <v>1438</v>
      </c>
      <c r="F59" s="63" t="s">
        <v>1565</v>
      </c>
      <c r="G59" s="591" t="s">
        <v>1313</v>
      </c>
    </row>
    <row r="60" spans="1:7" ht="89.25" x14ac:dyDescent="0.25">
      <c r="A60" s="1419"/>
      <c r="B60" s="1420"/>
      <c r="C60" s="576" t="s">
        <v>1600</v>
      </c>
      <c r="D60" s="576" t="s">
        <v>1599</v>
      </c>
      <c r="E60" s="593" t="s">
        <v>1438</v>
      </c>
      <c r="F60" s="63" t="s">
        <v>1565</v>
      </c>
      <c r="G60" s="591" t="s">
        <v>1313</v>
      </c>
    </row>
    <row r="61" spans="1:7" ht="89.25" x14ac:dyDescent="0.25">
      <c r="A61" s="1419"/>
      <c r="B61" s="1420"/>
      <c r="C61" s="576" t="s">
        <v>1603</v>
      </c>
      <c r="D61" s="576" t="s">
        <v>1602</v>
      </c>
      <c r="E61" s="593" t="s">
        <v>1438</v>
      </c>
      <c r="F61" s="63" t="s">
        <v>1565</v>
      </c>
      <c r="G61" s="591" t="s">
        <v>1313</v>
      </c>
    </row>
    <row r="62" spans="1:7" ht="89.25" x14ac:dyDescent="0.25">
      <c r="A62" s="1419"/>
      <c r="B62" s="1420"/>
      <c r="C62" s="576" t="s">
        <v>1604</v>
      </c>
      <c r="D62" s="576" t="s">
        <v>1602</v>
      </c>
      <c r="E62" s="593" t="s">
        <v>1438</v>
      </c>
      <c r="F62" s="63" t="s">
        <v>1565</v>
      </c>
      <c r="G62" s="591" t="s">
        <v>1313</v>
      </c>
    </row>
  </sheetData>
  <sheetProtection algorithmName="SHA-512" hashValue="/mGZxDgVgV0j+mc/lhbZas6aU2qHzaXPKve2yiKKPu/aCjnkt6hJsg2p0GoaG2f7yG0qLeJUxJwT8P7l9RRuwQ==" saltValue="dtWJmVThfW7nL9iVCVQ7LQ==" spinCount="100000" sheet="1" objects="1" scenarios="1"/>
  <mergeCells count="10">
    <mergeCell ref="A12:A62"/>
    <mergeCell ref="B12:B62"/>
    <mergeCell ref="I4:J4"/>
    <mergeCell ref="A2:G2"/>
    <mergeCell ref="D6:D7"/>
    <mergeCell ref="E6:E7"/>
    <mergeCell ref="F6:F7"/>
    <mergeCell ref="G6:G7"/>
    <mergeCell ref="B6:B7"/>
    <mergeCell ref="A6:A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U38"/>
  <sheetViews>
    <sheetView showGridLines="0" zoomScale="70" zoomScaleNormal="70" workbookViewId="0">
      <selection activeCell="A11" sqref="A11"/>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8.42578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44"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81" customWidth="1"/>
    <col min="31" max="31" width="35.7109375" style="81" customWidth="1"/>
    <col min="32" max="32" width="27.7109375" style="81" customWidth="1"/>
    <col min="33" max="33" width="13.5703125" style="81" customWidth="1"/>
    <col min="34" max="34" width="27.7109375" style="81" customWidth="1"/>
    <col min="35" max="35" width="11.42578125" style="81" customWidth="1"/>
    <col min="36" max="36" width="15.7109375" style="81" customWidth="1"/>
    <col min="37" max="37" width="11.42578125" style="81" customWidth="1"/>
    <col min="38" max="38" width="15.7109375" style="81" customWidth="1"/>
    <col min="39" max="39" width="50.7109375" style="81" customWidth="1"/>
    <col min="40" max="40" width="13.7109375" style="81" customWidth="1"/>
    <col min="41" max="41" width="35.7109375" style="81" customWidth="1"/>
    <col min="42" max="42" width="27.7109375" style="81" customWidth="1"/>
    <col min="43" max="43" width="17.140625" style="81" customWidth="1"/>
    <col min="44" max="44" width="27.7109375" style="81" customWidth="1"/>
    <col min="45" max="45" width="13.7109375" style="81" customWidth="1"/>
    <col min="46" max="46" width="15.7109375" style="81" customWidth="1"/>
    <col min="47" max="47" width="13.7109375" style="81" customWidth="1"/>
    <col min="48" max="48" width="15.7109375" style="81" customWidth="1"/>
    <col min="49" max="49" width="50.7109375" style="81" customWidth="1"/>
    <col min="50" max="50" width="13.7109375" style="81" customWidth="1"/>
    <col min="51" max="51" width="35.7109375" style="81" customWidth="1"/>
    <col min="52" max="52" width="27.7109375" style="81" customWidth="1"/>
    <col min="53" max="53" width="18" style="81" customWidth="1"/>
    <col min="54" max="54" width="27.7109375" style="81" customWidth="1"/>
    <col min="55" max="55" width="13.7109375" style="81" customWidth="1"/>
    <col min="56" max="56" width="15.7109375" style="81" customWidth="1"/>
    <col min="57" max="57" width="13.7109375" style="81" customWidth="1"/>
    <col min="58" max="58" width="15.7109375" style="81" customWidth="1"/>
    <col min="59" max="59" width="50.7109375" style="81" customWidth="1"/>
    <col min="60" max="60" width="13.7109375" style="81" customWidth="1"/>
    <col min="61" max="61" width="35.7109375" style="81" customWidth="1"/>
    <col min="62" max="62" width="27.7109375" style="81" customWidth="1"/>
    <col min="63" max="63" width="13.7109375" style="81" customWidth="1"/>
    <col min="64" max="64" width="27.7109375" style="81" customWidth="1"/>
    <col min="65" max="65" width="13.7109375" style="81" customWidth="1"/>
    <col min="66" max="66" width="15.7109375" style="81" customWidth="1"/>
    <col min="67" max="67" width="13.7109375" style="81" customWidth="1"/>
    <col min="68" max="68" width="15.7109375" style="81" customWidth="1"/>
    <col min="69" max="69" width="50.7109375" style="81" customWidth="1"/>
    <col min="70" max="70" width="13.7109375" style="81" customWidth="1"/>
    <col min="71" max="71" width="15.7109375" style="81" customWidth="1"/>
    <col min="72" max="72" width="15.42578125" style="81" customWidth="1"/>
    <col min="73" max="73" width="15.7109375" style="81" customWidth="1"/>
    <col min="74" max="74" width="13.7109375" style="81" customWidth="1"/>
    <col min="75" max="75" width="15.7109375" style="81" customWidth="1"/>
    <col min="76" max="76" width="13.7109375" style="81" customWidth="1"/>
    <col min="77" max="77" width="15.7109375" style="81" customWidth="1"/>
    <col min="78" max="78" width="11.42578125" style="81" hidden="1" customWidth="1"/>
    <col min="79" max="16384" width="11.42578125" style="81"/>
  </cols>
  <sheetData>
    <row r="1" spans="1:229" ht="22.5" customHeight="1" x14ac:dyDescent="0.2">
      <c r="A1" s="976"/>
      <c r="B1" s="977"/>
      <c r="C1" s="982" t="s">
        <v>246</v>
      </c>
      <c r="D1" s="983"/>
      <c r="E1" s="983"/>
      <c r="F1" s="983"/>
      <c r="G1" s="983"/>
      <c r="H1" s="983"/>
      <c r="I1" s="983"/>
      <c r="J1" s="984"/>
      <c r="K1" s="985" t="s">
        <v>247</v>
      </c>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6"/>
      <c r="BV1" s="1054"/>
      <c r="BW1" s="1055"/>
      <c r="BX1" s="1055"/>
      <c r="BY1" s="1055"/>
    </row>
    <row r="2" spans="1:229" ht="24" customHeight="1" x14ac:dyDescent="0.2">
      <c r="A2" s="978"/>
      <c r="B2" s="979"/>
      <c r="C2" s="1003" t="s">
        <v>248</v>
      </c>
      <c r="D2" s="1004"/>
      <c r="E2" s="1004"/>
      <c r="F2" s="1004"/>
      <c r="G2" s="1004"/>
      <c r="H2" s="1004"/>
      <c r="I2" s="1004"/>
      <c r="J2" s="1005"/>
      <c r="K2" s="1006" t="s">
        <v>254</v>
      </c>
      <c r="L2" s="1008" t="s">
        <v>250</v>
      </c>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t="s">
        <v>249</v>
      </c>
      <c r="BU2" s="1010">
        <v>2</v>
      </c>
      <c r="BV2" s="1056"/>
      <c r="BW2" s="1057"/>
      <c r="BX2" s="1057"/>
      <c r="BY2" s="1057"/>
    </row>
    <row r="3" spans="1:229" ht="25.5" customHeight="1" thickBot="1" x14ac:dyDescent="0.25">
      <c r="A3" s="980"/>
      <c r="B3" s="981"/>
      <c r="C3" s="1012" t="s">
        <v>242</v>
      </c>
      <c r="D3" s="1013"/>
      <c r="E3" s="1013"/>
      <c r="F3" s="1013"/>
      <c r="G3" s="1013"/>
      <c r="H3" s="1013"/>
      <c r="I3" s="1013"/>
      <c r="J3" s="1014"/>
      <c r="K3" s="1007"/>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11"/>
      <c r="BV3" s="1058"/>
      <c r="BW3" s="1059"/>
      <c r="BX3" s="1059"/>
      <c r="BY3" s="1059"/>
    </row>
    <row r="4" spans="1:229" x14ac:dyDescent="0.2">
      <c r="G4" s="141"/>
      <c r="H4" s="141"/>
      <c r="I4" s="141"/>
      <c r="J4" s="141"/>
      <c r="K4" s="141"/>
      <c r="L4" s="141"/>
      <c r="M4" s="141"/>
      <c r="N4" s="141"/>
      <c r="O4" s="141"/>
      <c r="P4" s="141"/>
      <c r="Q4" s="141"/>
      <c r="R4" s="141"/>
    </row>
    <row r="5" spans="1:229" x14ac:dyDescent="0.2">
      <c r="A5" s="142" t="s">
        <v>346</v>
      </c>
      <c r="G5" s="993"/>
      <c r="H5" s="993"/>
      <c r="I5" s="993"/>
      <c r="J5" s="993"/>
      <c r="K5" s="993"/>
      <c r="L5" s="993"/>
      <c r="M5" s="993"/>
      <c r="N5" s="993"/>
      <c r="O5" s="993"/>
      <c r="P5" s="993"/>
      <c r="Q5" s="993"/>
      <c r="R5" s="993"/>
      <c r="T5" s="143"/>
    </row>
    <row r="6" spans="1:229" ht="13.5" thickBot="1" x14ac:dyDescent="0.25">
      <c r="A6" s="142"/>
      <c r="G6" s="175"/>
      <c r="H6" s="175"/>
      <c r="I6" s="175"/>
      <c r="J6" s="175"/>
      <c r="K6" s="175"/>
      <c r="L6" s="175"/>
      <c r="M6" s="175"/>
      <c r="N6" s="175"/>
      <c r="O6" s="175"/>
      <c r="P6" s="175"/>
      <c r="Q6" s="175"/>
      <c r="R6" s="175"/>
      <c r="T6" s="143"/>
    </row>
    <row r="7" spans="1:229" ht="29.25" customHeight="1" thickBot="1" x14ac:dyDescent="0.25">
      <c r="A7" s="948" t="s">
        <v>30</v>
      </c>
      <c r="B7" s="950" t="s">
        <v>31</v>
      </c>
      <c r="C7" s="950" t="s">
        <v>255</v>
      </c>
      <c r="D7" s="950" t="s">
        <v>255</v>
      </c>
      <c r="E7" s="950"/>
      <c r="F7" s="950" t="s">
        <v>57</v>
      </c>
      <c r="G7" s="950" t="s">
        <v>257</v>
      </c>
      <c r="H7" s="950" t="s">
        <v>256</v>
      </c>
      <c r="I7" s="950" t="s">
        <v>258</v>
      </c>
      <c r="J7" s="950" t="s">
        <v>32</v>
      </c>
      <c r="K7" s="950" t="s">
        <v>49</v>
      </c>
      <c r="L7" s="950" t="s">
        <v>35</v>
      </c>
      <c r="M7" s="950" t="s">
        <v>8</v>
      </c>
      <c r="N7" s="950" t="s">
        <v>33</v>
      </c>
      <c r="O7" s="950" t="s">
        <v>50</v>
      </c>
      <c r="P7" s="950" t="s">
        <v>151</v>
      </c>
      <c r="Q7" s="950" t="s">
        <v>5</v>
      </c>
      <c r="R7" s="950" t="s">
        <v>37</v>
      </c>
      <c r="S7" s="950" t="s">
        <v>36</v>
      </c>
      <c r="T7" s="950" t="s">
        <v>38</v>
      </c>
      <c r="U7" s="950" t="s">
        <v>39</v>
      </c>
      <c r="V7" s="950" t="s">
        <v>6</v>
      </c>
      <c r="W7" s="950" t="s">
        <v>1277</v>
      </c>
      <c r="X7" s="950" t="s">
        <v>0</v>
      </c>
      <c r="Y7" s="950" t="s">
        <v>34</v>
      </c>
      <c r="Z7" s="950" t="s">
        <v>8</v>
      </c>
      <c r="AA7" s="950" t="s">
        <v>188</v>
      </c>
      <c r="AB7" s="950" t="s">
        <v>151</v>
      </c>
      <c r="AC7" s="1029" t="s">
        <v>9</v>
      </c>
      <c r="AD7" s="988" t="s">
        <v>190</v>
      </c>
      <c r="AE7" s="988"/>
      <c r="AF7" s="988"/>
      <c r="AG7" s="988"/>
      <c r="AH7" s="988"/>
      <c r="AI7" s="988"/>
      <c r="AJ7" s="988"/>
      <c r="AK7" s="988"/>
      <c r="AL7" s="988"/>
      <c r="AM7" s="989"/>
      <c r="AN7" s="990" t="s">
        <v>192</v>
      </c>
      <c r="AO7" s="991"/>
      <c r="AP7" s="991"/>
      <c r="AQ7" s="991"/>
      <c r="AR7" s="991"/>
      <c r="AS7" s="991"/>
      <c r="AT7" s="991"/>
      <c r="AU7" s="991"/>
      <c r="AV7" s="991"/>
      <c r="AW7" s="992"/>
      <c r="AX7" s="987" t="s">
        <v>191</v>
      </c>
      <c r="AY7" s="988"/>
      <c r="AZ7" s="988"/>
      <c r="BA7" s="988"/>
      <c r="BB7" s="988"/>
      <c r="BC7" s="988"/>
      <c r="BD7" s="988"/>
      <c r="BE7" s="988"/>
      <c r="BF7" s="988"/>
      <c r="BG7" s="989"/>
      <c r="BH7" s="990" t="s">
        <v>193</v>
      </c>
      <c r="BI7" s="991"/>
      <c r="BJ7" s="991"/>
      <c r="BK7" s="991"/>
      <c r="BL7" s="991"/>
      <c r="BM7" s="991"/>
      <c r="BN7" s="991"/>
      <c r="BO7" s="991"/>
      <c r="BP7" s="991"/>
      <c r="BQ7" s="992"/>
      <c r="BR7" s="994" t="s">
        <v>1158</v>
      </c>
      <c r="BS7" s="995"/>
      <c r="BT7" s="995"/>
      <c r="BU7" s="995"/>
      <c r="BV7" s="995"/>
      <c r="BW7" s="995"/>
      <c r="BX7" s="995"/>
      <c r="BY7" s="996"/>
    </row>
    <row r="8" spans="1:229" s="174" customFormat="1" ht="40.5" customHeight="1" x14ac:dyDescent="0.2">
      <c r="A8" s="949"/>
      <c r="B8" s="951"/>
      <c r="C8" s="951"/>
      <c r="D8" s="773">
        <v>2</v>
      </c>
      <c r="E8" s="773">
        <v>3</v>
      </c>
      <c r="F8" s="951"/>
      <c r="G8" s="951"/>
      <c r="H8" s="951"/>
      <c r="I8" s="951"/>
      <c r="J8" s="951"/>
      <c r="K8" s="951"/>
      <c r="L8" s="951"/>
      <c r="M8" s="951"/>
      <c r="N8" s="951"/>
      <c r="O8" s="951"/>
      <c r="P8" s="951"/>
      <c r="Q8" s="951"/>
      <c r="R8" s="951"/>
      <c r="S8" s="951"/>
      <c r="T8" s="951"/>
      <c r="U8" s="951"/>
      <c r="V8" s="951"/>
      <c r="W8" s="951"/>
      <c r="X8" s="951"/>
      <c r="Y8" s="951"/>
      <c r="Z8" s="951"/>
      <c r="AA8" s="951"/>
      <c r="AB8" s="951"/>
      <c r="AC8" s="1030"/>
      <c r="AD8" s="180" t="s">
        <v>8</v>
      </c>
      <c r="AE8" s="149" t="s">
        <v>50</v>
      </c>
      <c r="AF8" s="149" t="s">
        <v>151</v>
      </c>
      <c r="AG8" s="149" t="s">
        <v>8</v>
      </c>
      <c r="AH8" s="149" t="s">
        <v>151</v>
      </c>
      <c r="AI8" s="149" t="s">
        <v>7</v>
      </c>
      <c r="AJ8" s="149" t="s">
        <v>10</v>
      </c>
      <c r="AK8" s="149" t="s">
        <v>7</v>
      </c>
      <c r="AL8" s="149" t="s">
        <v>10</v>
      </c>
      <c r="AM8" s="149" t="s">
        <v>189</v>
      </c>
      <c r="AN8" s="146" t="s">
        <v>8</v>
      </c>
      <c r="AO8" s="146" t="s">
        <v>50</v>
      </c>
      <c r="AP8" s="146" t="s">
        <v>151</v>
      </c>
      <c r="AQ8" s="146" t="s">
        <v>8</v>
      </c>
      <c r="AR8" s="146" t="s">
        <v>151</v>
      </c>
      <c r="AS8" s="146" t="s">
        <v>7</v>
      </c>
      <c r="AT8" s="146" t="s">
        <v>10</v>
      </c>
      <c r="AU8" s="146" t="s">
        <v>7</v>
      </c>
      <c r="AV8" s="146" t="s">
        <v>10</v>
      </c>
      <c r="AW8" s="146" t="s">
        <v>189</v>
      </c>
      <c r="AX8" s="149" t="s">
        <v>8</v>
      </c>
      <c r="AY8" s="149" t="s">
        <v>50</v>
      </c>
      <c r="AZ8" s="149" t="s">
        <v>151</v>
      </c>
      <c r="BA8" s="149" t="s">
        <v>8</v>
      </c>
      <c r="BB8" s="149" t="s">
        <v>151</v>
      </c>
      <c r="BC8" s="149" t="s">
        <v>7</v>
      </c>
      <c r="BD8" s="149" t="s">
        <v>10</v>
      </c>
      <c r="BE8" s="149" t="s">
        <v>7</v>
      </c>
      <c r="BF8" s="149" t="s">
        <v>10</v>
      </c>
      <c r="BG8" s="149" t="s">
        <v>189</v>
      </c>
      <c r="BH8" s="146" t="s">
        <v>8</v>
      </c>
      <c r="BI8" s="146" t="s">
        <v>50</v>
      </c>
      <c r="BJ8" s="146" t="s">
        <v>151</v>
      </c>
      <c r="BK8" s="146" t="s">
        <v>8</v>
      </c>
      <c r="BL8" s="146" t="s">
        <v>151</v>
      </c>
      <c r="BM8" s="146" t="s">
        <v>7</v>
      </c>
      <c r="BN8" s="146" t="s">
        <v>10</v>
      </c>
      <c r="BO8" s="146" t="s">
        <v>7</v>
      </c>
      <c r="BP8" s="146" t="s">
        <v>10</v>
      </c>
      <c r="BQ8" s="146" t="s">
        <v>189</v>
      </c>
      <c r="BR8" s="150" t="s">
        <v>7</v>
      </c>
      <c r="BS8" s="150" t="s">
        <v>10</v>
      </c>
      <c r="BT8" s="150" t="s">
        <v>7</v>
      </c>
      <c r="BU8" s="150" t="s">
        <v>10</v>
      </c>
      <c r="BV8" s="150" t="s">
        <v>7</v>
      </c>
      <c r="BW8" s="150" t="s">
        <v>10</v>
      </c>
      <c r="BX8" s="150" t="s">
        <v>7</v>
      </c>
      <c r="BY8" s="150" t="s">
        <v>10</v>
      </c>
    </row>
    <row r="9" spans="1:229" s="614" customFormat="1" ht="178.5" hidden="1" x14ac:dyDescent="0.2">
      <c r="A9" s="810">
        <v>11900</v>
      </c>
      <c r="B9" s="811" t="s">
        <v>125</v>
      </c>
      <c r="C9" s="811" t="s">
        <v>330</v>
      </c>
      <c r="D9" s="812" t="s">
        <v>1023</v>
      </c>
      <c r="E9" s="812" t="s">
        <v>1023</v>
      </c>
      <c r="F9" s="813" t="s">
        <v>126</v>
      </c>
      <c r="G9" s="811" t="s">
        <v>60</v>
      </c>
      <c r="H9" s="811" t="s">
        <v>204</v>
      </c>
      <c r="I9" s="811" t="s">
        <v>204</v>
      </c>
      <c r="J9" s="813" t="s">
        <v>149</v>
      </c>
      <c r="K9" s="811" t="s">
        <v>435</v>
      </c>
      <c r="L9" s="814" t="s">
        <v>493</v>
      </c>
      <c r="M9" s="815">
        <v>4400</v>
      </c>
      <c r="N9" s="813" t="s">
        <v>128</v>
      </c>
      <c r="O9" s="816" t="s">
        <v>347</v>
      </c>
      <c r="P9" s="817">
        <v>53164884</v>
      </c>
      <c r="Q9" s="818">
        <v>1</v>
      </c>
      <c r="R9" s="811" t="s">
        <v>17</v>
      </c>
      <c r="S9" s="811" t="s">
        <v>26</v>
      </c>
      <c r="T9" s="811" t="s">
        <v>634</v>
      </c>
      <c r="U9" s="811" t="s">
        <v>636</v>
      </c>
      <c r="V9" s="811" t="s">
        <v>1048</v>
      </c>
      <c r="W9" s="811" t="s">
        <v>1278</v>
      </c>
      <c r="X9" s="811" t="s">
        <v>494</v>
      </c>
      <c r="Y9" s="811" t="s">
        <v>204</v>
      </c>
      <c r="Z9" s="815">
        <v>4400</v>
      </c>
      <c r="AA9" s="811"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819">
        <f>+P9</f>
        <v>53164884</v>
      </c>
      <c r="AC9" s="816" t="s">
        <v>46</v>
      </c>
      <c r="AD9" s="815">
        <v>800</v>
      </c>
      <c r="AE9" s="811"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817">
        <f>+AB9/4</f>
        <v>13291221</v>
      </c>
      <c r="AG9" s="814">
        <v>2287</v>
      </c>
      <c r="AH9" s="814" t="s">
        <v>1365</v>
      </c>
      <c r="AI9" s="820">
        <f t="shared" ref="AI9:AI15" si="1">+(AG9/AD9)</f>
        <v>2.8587500000000001</v>
      </c>
      <c r="AJ9" s="820">
        <f t="shared" ref="AJ9:AJ15" si="2">+(AH9/AF9)</f>
        <v>0.73333330323828039</v>
      </c>
      <c r="AK9" s="820">
        <f t="shared" ref="AK9:AK15" si="3">+(AG9/Z9)</f>
        <v>0.51977272727272728</v>
      </c>
      <c r="AL9" s="820">
        <f t="shared" ref="AL9:AL15" si="4">+(AH9/AB9)</f>
        <v>0.1833333258095701</v>
      </c>
      <c r="AM9" s="821" t="s">
        <v>1614</v>
      </c>
      <c r="AN9" s="815">
        <v>1200</v>
      </c>
      <c r="AO9" s="811"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817">
        <f>+AB9/4</f>
        <v>13291221</v>
      </c>
      <c r="AQ9" s="814"/>
      <c r="AR9" s="813"/>
      <c r="AS9" s="820">
        <f t="shared" ref="AS9:AS15" si="6">+(AQ9/AN9)</f>
        <v>0</v>
      </c>
      <c r="AT9" s="820">
        <f t="shared" ref="AT9:AT15" si="7">+(AR9/AP9)</f>
        <v>0</v>
      </c>
      <c r="AU9" s="820">
        <f t="shared" ref="AU9:AU15" si="8">+(AQ9+AG9)/Z9</f>
        <v>0.51977272727272728</v>
      </c>
      <c r="AV9" s="820">
        <f t="shared" ref="AV9:AV15" si="9">+(AR9+AH9)/AB9</f>
        <v>0.1833333258095701</v>
      </c>
      <c r="AW9" s="822"/>
      <c r="AX9" s="815">
        <v>1200</v>
      </c>
      <c r="AY9" s="811"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817">
        <f>+AB9/4</f>
        <v>13291221</v>
      </c>
      <c r="BA9" s="823"/>
      <c r="BB9" s="823"/>
      <c r="BC9" s="820">
        <f t="shared" ref="BC9:BC15" si="11">+(BA9/AX9)</f>
        <v>0</v>
      </c>
      <c r="BD9" s="820">
        <f t="shared" ref="BD9:BD15" si="12">+(BB9/AZ9)</f>
        <v>0</v>
      </c>
      <c r="BE9" s="820">
        <f t="shared" ref="BE9:BE15" si="13">+(AQ9+AG9+BA9)/Z9</f>
        <v>0.51977272727272728</v>
      </c>
      <c r="BF9" s="820">
        <f t="shared" ref="BF9:BF15" si="14">+(AR9+AH9+BB9)/AB9</f>
        <v>0.1833333258095701</v>
      </c>
      <c r="BG9" s="820"/>
      <c r="BH9" s="815">
        <v>1200</v>
      </c>
      <c r="BI9" s="811"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817">
        <f>+AB9/4</f>
        <v>13291221</v>
      </c>
      <c r="BK9" s="824"/>
      <c r="BL9" s="824"/>
      <c r="BM9" s="825">
        <f t="shared" ref="BM9:BM15" si="16">+(BK9/BH9)</f>
        <v>0</v>
      </c>
      <c r="BN9" s="825">
        <f t="shared" ref="BN9:BN15" si="17">+(BL9/BJ9)</f>
        <v>0</v>
      </c>
      <c r="BO9" s="825">
        <f t="shared" ref="BO9:BO15" si="18">+(AQ9+AG9+BA9+BK9)/Z9</f>
        <v>0.51977272727272728</v>
      </c>
      <c r="BP9" s="825">
        <f t="shared" ref="BP9:BP15" si="19">+(AR9+AH9+BB9+BL9)/AB9</f>
        <v>0.1833333258095701</v>
      </c>
      <c r="BQ9" s="825"/>
      <c r="BR9" s="826">
        <f t="shared" ref="BR9:BR15" si="20">IF(AND(AD9=0,AG9=0),"No Prog ni Ejec",IF(AD9=0,CONCATENATE("No Prog, Ejec=  ",AG9),AG9/AD9))</f>
        <v>2.8587500000000001</v>
      </c>
      <c r="BS9" s="826">
        <f t="shared" ref="BS9:BS15" si="21">IF(AND(AF9=0,AH9=0),"No Prog ni Ejec",IF(AF9=0,CONCATENATE("No Prog, Ejec=  ",AH9),AH9/AF9))</f>
        <v>0.73333330323828039</v>
      </c>
      <c r="BT9" s="826">
        <f t="shared" ref="BT9:BT15" si="22">IF(AND(AN9=0,AQ9=0),"No Prog ni Ejec",IF(AN9=0,CONCATENATE("No Prog, Ejec=  ",AQ9),AQ9/AN9))</f>
        <v>0</v>
      </c>
      <c r="BU9" s="826">
        <f t="shared" ref="BU9:BU15" si="23">IF(AND(AP9=0,AR9=0),"No Prog ni Ejec",IF(AP9=0,CONCATENATE("No Prog, Ejec=  ",AR9),AR9/AP9))</f>
        <v>0</v>
      </c>
      <c r="BV9" s="826">
        <f t="shared" ref="BV9:BV15" si="24">IF(AND(AX9=0,BA9=0),"No Prog ni Ejec",IF(AX9=0,CONCATENATE("No Prog, Ejec=  ",BA9),BA9/AX9))</f>
        <v>0</v>
      </c>
      <c r="BW9" s="826">
        <f t="shared" ref="BW9:BW15" si="25">IF(AND(AZ9=0,BB9=0),"No Prog ni Ejec",IF(AZ9=0,CONCATENATE("No Prog, Ejec=  ",BB9),BB9/AZ9))</f>
        <v>0</v>
      </c>
      <c r="BX9" s="826">
        <f t="shared" ref="BX9:BX15" si="26">IF(AND(BH9=0,BK9=0),"No Prog ni Ejec",IF(BH9=0,CONCATENATE("No Prog, Ejec=  ",BK9),BK9/BH9))</f>
        <v>0</v>
      </c>
      <c r="BY9" s="827">
        <f t="shared" ref="BY9:BY15" si="27">IF(AND(BJ9=0,BL9=0),"No Prog ni Ejec",IF(BJ9=0,CONCATENATE("No Prog, Ejec=  ",BL9),BL9/BJ9))</f>
        <v>0</v>
      </c>
      <c r="BZ9" s="613">
        <f>+AB9-AF9-AP9-AZ9-BJ9</f>
        <v>0</v>
      </c>
    </row>
    <row r="10" spans="1:229" s="614" customFormat="1" ht="51" hidden="1" customHeight="1" x14ac:dyDescent="0.2">
      <c r="A10" s="828">
        <v>11900</v>
      </c>
      <c r="B10" s="689" t="s">
        <v>125</v>
      </c>
      <c r="C10" s="689" t="s">
        <v>330</v>
      </c>
      <c r="D10" s="606" t="s">
        <v>1023</v>
      </c>
      <c r="E10" s="606" t="s">
        <v>1023</v>
      </c>
      <c r="F10" s="694" t="s">
        <v>126</v>
      </c>
      <c r="G10" s="689" t="s">
        <v>60</v>
      </c>
      <c r="H10" s="689" t="s">
        <v>204</v>
      </c>
      <c r="I10" s="689" t="s">
        <v>204</v>
      </c>
      <c r="J10" s="694" t="s">
        <v>593</v>
      </c>
      <c r="K10" s="689" t="s">
        <v>492</v>
      </c>
      <c r="L10" s="608" t="s">
        <v>493</v>
      </c>
      <c r="M10" s="632">
        <f>3000*4</f>
        <v>12000</v>
      </c>
      <c r="N10" s="968" t="s">
        <v>592</v>
      </c>
      <c r="O10" s="723" t="s">
        <v>491</v>
      </c>
      <c r="P10" s="1060">
        <v>27880404</v>
      </c>
      <c r="Q10" s="964">
        <v>1</v>
      </c>
      <c r="R10" s="959" t="s">
        <v>18</v>
      </c>
      <c r="S10" s="959" t="s">
        <v>24</v>
      </c>
      <c r="T10" s="959" t="s">
        <v>204</v>
      </c>
      <c r="U10" s="959" t="s">
        <v>638</v>
      </c>
      <c r="V10" s="959" t="s">
        <v>1048</v>
      </c>
      <c r="W10" s="1076" t="s">
        <v>1278</v>
      </c>
      <c r="X10" s="689" t="s">
        <v>495</v>
      </c>
      <c r="Y10" s="959" t="s">
        <v>204</v>
      </c>
      <c r="Z10" s="632">
        <f>3000*4</f>
        <v>12000</v>
      </c>
      <c r="AA10" s="689" t="str">
        <f>+O10</f>
        <v>Remitir comunicaciones a los terceros deudores informándoles lo adeudado a la ADRES</v>
      </c>
      <c r="AB10" s="965">
        <f>+P10</f>
        <v>27880404</v>
      </c>
      <c r="AC10" s="723" t="s">
        <v>46</v>
      </c>
      <c r="AD10" s="632">
        <v>3000</v>
      </c>
      <c r="AE10" s="689" t="str">
        <f t="shared" si="0"/>
        <v>Remitir comunicaciones a los terceros deudores informándoles lo adeudado a la ADRES</v>
      </c>
      <c r="AF10" s="963">
        <f>+AB10/4</f>
        <v>6970101</v>
      </c>
      <c r="AG10" s="608">
        <v>0</v>
      </c>
      <c r="AH10" s="1078" t="s">
        <v>1366</v>
      </c>
      <c r="AI10" s="692">
        <f>+(AG10/AD10)</f>
        <v>0</v>
      </c>
      <c r="AJ10" s="954">
        <f>+(AH10/AF10)</f>
        <v>0.66666666666666663</v>
      </c>
      <c r="AK10" s="692">
        <f>+(AG10/Z10)</f>
        <v>0</v>
      </c>
      <c r="AL10" s="954">
        <f>+(AH10/AB10)</f>
        <v>0.16666666666666666</v>
      </c>
      <c r="AM10" s="633" t="s">
        <v>1368</v>
      </c>
      <c r="AN10" s="632">
        <v>3000</v>
      </c>
      <c r="AO10" s="689" t="str">
        <f t="shared" si="5"/>
        <v>Remitir comunicaciones a los terceros deudores informándoles lo adeudado a la ADRES</v>
      </c>
      <c r="AP10" s="963">
        <f>+AB10/4</f>
        <v>6970101</v>
      </c>
      <c r="AQ10" s="608"/>
      <c r="AR10" s="1082">
        <v>6970101</v>
      </c>
      <c r="AS10" s="692">
        <f>+(AQ10/AN10)</f>
        <v>0</v>
      </c>
      <c r="AT10" s="954">
        <f>+(AR10/AP10)</f>
        <v>1</v>
      </c>
      <c r="AU10" s="692">
        <f>+(AQ10+AG10)/Z10</f>
        <v>0</v>
      </c>
      <c r="AV10" s="954">
        <f>+(AR10+AH10)/AB10</f>
        <v>0.41666666666666669</v>
      </c>
      <c r="AW10" s="762"/>
      <c r="AX10" s="632">
        <v>3000</v>
      </c>
      <c r="AY10" s="689" t="str">
        <f t="shared" si="10"/>
        <v>Remitir comunicaciones a los terceros deudores informándoles lo adeudado a la ADRES</v>
      </c>
      <c r="AZ10" s="963">
        <f>+AB10/4</f>
        <v>6970101</v>
      </c>
      <c r="BA10" s="612"/>
      <c r="BB10" s="1026"/>
      <c r="BC10" s="692">
        <f>+(BA10/AX10)</f>
        <v>0</v>
      </c>
      <c r="BD10" s="954">
        <f>+(BB10/AZ10)</f>
        <v>0</v>
      </c>
      <c r="BE10" s="692">
        <f>+(AQ10+AG10+BA10)/Z10</f>
        <v>0</v>
      </c>
      <c r="BF10" s="954">
        <f>+(AR10+AH10+BB10)/AB10</f>
        <v>0.41666666666666669</v>
      </c>
      <c r="BG10" s="692"/>
      <c r="BH10" s="632">
        <v>300</v>
      </c>
      <c r="BI10" s="689" t="str">
        <f t="shared" si="15"/>
        <v>Remitir comunicaciones a los terceros deudores informándoles lo adeudado a la ADRES</v>
      </c>
      <c r="BJ10" s="963">
        <f>+AB10/4</f>
        <v>6970101</v>
      </c>
      <c r="BK10" s="634"/>
      <c r="BL10" s="1026"/>
      <c r="BM10" s="707">
        <f>+(BK10/BH10)</f>
        <v>0</v>
      </c>
      <c r="BN10" s="1077">
        <f>+(BL10/BJ10)</f>
        <v>0</v>
      </c>
      <c r="BO10" s="707">
        <f>+(AQ10+AG10+BA10+BK10)/Z10</f>
        <v>0</v>
      </c>
      <c r="BP10" s="1077">
        <f>+(AR10+AH10+BB10+BL10)/AB10</f>
        <v>0.41666666666666669</v>
      </c>
      <c r="BQ10" s="707"/>
      <c r="BR10" s="699">
        <f>IF(AND(AD10=0,AG10=0),"No Prog ni Ejec",IF(AD10=0,CONCATENATE("No Prog, Ejec=  ",AG10),AG10/AD10))</f>
        <v>0</v>
      </c>
      <c r="BS10" s="966">
        <f>IF(AND(AF10=0,AH10=0),"No Prog ni Ejec",IF(AF10=0,CONCATENATE("No Prog, Ejec=  ",AH10),AH10/AF10))</f>
        <v>0.66666666666666663</v>
      </c>
      <c r="BT10" s="699">
        <f>IF(AND(AN10=0,AQ10=0),"No Prog ni Ejec",IF(AN10=0,CONCATENATE("No Prog, Ejec=  ",AQ10),AQ10/AN10))</f>
        <v>0</v>
      </c>
      <c r="BU10" s="966">
        <f>IF(AND(AP10=0,AR10=0),"No Prog ni Ejec",IF(AP10=0,CONCATENATE("No Prog, Ejec=  ",AR10),AR10/AP10))</f>
        <v>1</v>
      </c>
      <c r="BV10" s="699">
        <f>IF(AND(AX10=0,BA10=0),"No Prog ni Ejec",IF(AX10=0,CONCATENATE("No Prog, Ejec=  ",BA10),BA10/AX10))</f>
        <v>0</v>
      </c>
      <c r="BW10" s="966">
        <f>IF(AND(AZ10=0,BB10=0),"No Prog ni Ejec",IF(AZ10=0,CONCATENATE("No Prog, Ejec=  ",BB10),BB10/AZ10))</f>
        <v>0</v>
      </c>
      <c r="BX10" s="699">
        <f>IF(AND(BH10=0,BK10=0),"No Prog ni Ejec",IF(BH10=0,CONCATENATE("No Prog, Ejec=  ",BK10),BK10/BH10))</f>
        <v>0</v>
      </c>
      <c r="BY10" s="1023">
        <f>IF(AND(BJ10=0,BL10=0),"No Prog ni Ejec",IF(BJ10=0,CONCATENATE("No Prog, Ejec=  ",BL10),BL10/BJ10))</f>
        <v>0</v>
      </c>
      <c r="BZ10" s="613">
        <f t="shared" ref="BZ10:BZ20" si="28">+AB10-AF10-AP10-AZ10-BJ10</f>
        <v>0</v>
      </c>
    </row>
    <row r="11" spans="1:229" s="70" customFormat="1" ht="153" x14ac:dyDescent="0.2">
      <c r="A11" s="785">
        <v>11900</v>
      </c>
      <c r="B11" s="693" t="s">
        <v>125</v>
      </c>
      <c r="C11" s="693" t="s">
        <v>330</v>
      </c>
      <c r="D11" s="129" t="s">
        <v>1023</v>
      </c>
      <c r="E11" s="129" t="s">
        <v>1023</v>
      </c>
      <c r="F11" s="695" t="s">
        <v>126</v>
      </c>
      <c r="G11" s="693" t="s">
        <v>60</v>
      </c>
      <c r="H11" s="693" t="s">
        <v>204</v>
      </c>
      <c r="I11" s="693" t="s">
        <v>204</v>
      </c>
      <c r="J11" s="695" t="s">
        <v>932</v>
      </c>
      <c r="K11" s="693" t="s">
        <v>497</v>
      </c>
      <c r="L11" s="716" t="s">
        <v>51</v>
      </c>
      <c r="M11" s="706">
        <v>1</v>
      </c>
      <c r="N11" s="968"/>
      <c r="O11" s="700" t="s">
        <v>496</v>
      </c>
      <c r="P11" s="1060"/>
      <c r="Q11" s="964"/>
      <c r="R11" s="959"/>
      <c r="S11" s="959"/>
      <c r="T11" s="959"/>
      <c r="U11" s="959"/>
      <c r="V11" s="959"/>
      <c r="W11" s="1076"/>
      <c r="X11" s="702" t="s">
        <v>1535</v>
      </c>
      <c r="Y11" s="959"/>
      <c r="Z11" s="706">
        <v>1</v>
      </c>
      <c r="AA11" s="693" t="str">
        <f>+O11</f>
        <v>Conciliar con el Grupo de Tesorería de la DGRFS los pagos realizados por los terceros deudores con ocasión de los acuerdos de pago</v>
      </c>
      <c r="AB11" s="965"/>
      <c r="AC11" s="700" t="s">
        <v>46</v>
      </c>
      <c r="AD11" s="698">
        <v>0</v>
      </c>
      <c r="AE11" s="693" t="str">
        <f t="shared" si="0"/>
        <v>Conciliar con el Grupo de Tesorería de la DGRFS los pagos realizados por los terceros deudores con ocasión de los acuerdos de pago</v>
      </c>
      <c r="AF11" s="963"/>
      <c r="AG11" s="493">
        <f>(277/233)*AD11</f>
        <v>0</v>
      </c>
      <c r="AH11" s="1078"/>
      <c r="AI11" s="690" t="e">
        <f>+(AG11/AD11)</f>
        <v>#DIV/0!</v>
      </c>
      <c r="AJ11" s="954"/>
      <c r="AK11" s="690">
        <f>+(AG11/Z11)</f>
        <v>0</v>
      </c>
      <c r="AL11" s="954"/>
      <c r="AM11" s="502" t="s">
        <v>1615</v>
      </c>
      <c r="AN11" s="698">
        <v>0</v>
      </c>
      <c r="AO11" s="693" t="str">
        <f t="shared" si="5"/>
        <v>Conciliar con el Grupo de Tesorería de la DGRFS los pagos realizados por los terceros deudores con ocasión de los acuerdos de pago</v>
      </c>
      <c r="AP11" s="963"/>
      <c r="AQ11" s="716">
        <v>0</v>
      </c>
      <c r="AR11" s="1082"/>
      <c r="AS11" s="690" t="e">
        <f>+(AQ11/AN11)</f>
        <v>#DIV/0!</v>
      </c>
      <c r="AT11" s="954"/>
      <c r="AU11" s="690">
        <f>+(AQ11+AG11)/Z11</f>
        <v>0</v>
      </c>
      <c r="AV11" s="954"/>
      <c r="AW11" s="763" t="s">
        <v>1726</v>
      </c>
      <c r="AX11" s="698">
        <v>0</v>
      </c>
      <c r="AY11" s="693" t="str">
        <f t="shared" si="10"/>
        <v>Conciliar con el Grupo de Tesorería de la DGRFS los pagos realizados por los terceros deudores con ocasión de los acuerdos de pago</v>
      </c>
      <c r="AZ11" s="963"/>
      <c r="BA11" s="69"/>
      <c r="BB11" s="1026"/>
      <c r="BC11" s="690" t="e">
        <f>+(BA11/AX11)</f>
        <v>#DIV/0!</v>
      </c>
      <c r="BD11" s="954"/>
      <c r="BE11" s="690">
        <f>+(AQ11+AG11+BA11)/Z11</f>
        <v>0</v>
      </c>
      <c r="BF11" s="954"/>
      <c r="BG11" s="690"/>
      <c r="BH11" s="698">
        <v>1</v>
      </c>
      <c r="BI11" s="693" t="str">
        <f t="shared" si="15"/>
        <v>Conciliar con el Grupo de Tesorería de la DGRFS los pagos realizados por los terceros deudores con ocasión de los acuerdos de pago</v>
      </c>
      <c r="BJ11" s="963"/>
      <c r="BK11" s="134"/>
      <c r="BL11" s="1026"/>
      <c r="BM11" s="698">
        <f>+(BK11/BH11)</f>
        <v>0</v>
      </c>
      <c r="BN11" s="1077"/>
      <c r="BO11" s="698">
        <f>+(AQ11+AG11+BA11+BK11)/Z11</f>
        <v>0</v>
      </c>
      <c r="BP11" s="1077"/>
      <c r="BQ11" s="698"/>
      <c r="BR11" s="697" t="str">
        <f>IF(AND(AD11=0,AG11=0),"No Prog ni Ejec",IF(AD11=0,CONCATENATE("No Prog, Ejec=  ",AG11),AG11/AD11))</f>
        <v>No Prog ni Ejec</v>
      </c>
      <c r="BS11" s="966"/>
      <c r="BT11" s="697" t="str">
        <f>IF(AND(AN11=0,AQ11=0),"No Prog ni Ejec",IF(AN11=0,CONCATENATE("No Prog, Ejec=  ",AQ11),AQ11/AN11))</f>
        <v>No Prog ni Ejec</v>
      </c>
      <c r="BU11" s="966"/>
      <c r="BV11" s="697" t="str">
        <f>IF(AND(AX11=0,BA11=0),"No Prog ni Ejec",IF(AX11=0,CONCATENATE("No Prog, Ejec=  ",BA11),BA11/AX11))</f>
        <v>No Prog ni Ejec</v>
      </c>
      <c r="BW11" s="966"/>
      <c r="BX11" s="697">
        <f>IF(AND(BH11=0,BK11=0),"No Prog ni Ejec",IF(BH11=0,CONCATENATE("No Prog, Ejec=  ",BK11),BK11/BH11))</f>
        <v>0</v>
      </c>
      <c r="BY11" s="1023"/>
      <c r="BZ11" s="136">
        <f t="shared" si="28"/>
        <v>0</v>
      </c>
    </row>
    <row r="12" spans="1:229" s="70" customFormat="1" ht="102" x14ac:dyDescent="0.2">
      <c r="A12" s="785">
        <v>11900</v>
      </c>
      <c r="B12" s="693" t="s">
        <v>125</v>
      </c>
      <c r="C12" s="693" t="s">
        <v>330</v>
      </c>
      <c r="D12" s="129" t="s">
        <v>1023</v>
      </c>
      <c r="E12" s="129" t="s">
        <v>1023</v>
      </c>
      <c r="F12" s="695" t="s">
        <v>126</v>
      </c>
      <c r="G12" s="693" t="s">
        <v>60</v>
      </c>
      <c r="H12" s="693" t="s">
        <v>204</v>
      </c>
      <c r="I12" s="693" t="s">
        <v>204</v>
      </c>
      <c r="J12" s="695" t="s">
        <v>933</v>
      </c>
      <c r="K12" s="702" t="s">
        <v>1539</v>
      </c>
      <c r="L12" s="716" t="s">
        <v>51</v>
      </c>
      <c r="M12" s="636">
        <v>700</v>
      </c>
      <c r="N12" s="968"/>
      <c r="O12" s="635" t="s">
        <v>1537</v>
      </c>
      <c r="P12" s="1060"/>
      <c r="Q12" s="964"/>
      <c r="R12" s="959"/>
      <c r="S12" s="959"/>
      <c r="T12" s="959"/>
      <c r="U12" s="959"/>
      <c r="V12" s="959"/>
      <c r="W12" s="1076"/>
      <c r="X12" s="702" t="s">
        <v>1538</v>
      </c>
      <c r="Y12" s="959"/>
      <c r="Z12" s="597">
        <v>700</v>
      </c>
      <c r="AA12" s="693" t="str">
        <f>+O12</f>
        <v>Determinar la cartera susceptible de depuración, conforme a las normas contables aplicables</v>
      </c>
      <c r="AB12" s="965"/>
      <c r="AC12" s="700" t="s">
        <v>46</v>
      </c>
      <c r="AD12" s="66">
        <v>0</v>
      </c>
      <c r="AE12" s="693" t="str">
        <f t="shared" si="0"/>
        <v>Determinar la cartera susceptible de depuración, conforme a las normas contables aplicables</v>
      </c>
      <c r="AF12" s="963"/>
      <c r="AG12" s="494">
        <v>0</v>
      </c>
      <c r="AH12" s="1078"/>
      <c r="AI12" s="690" t="e">
        <f>+(AG12/AD12)</f>
        <v>#DIV/0!</v>
      </c>
      <c r="AJ12" s="954"/>
      <c r="AK12" s="690">
        <f>+(AG12/Z12)</f>
        <v>0</v>
      </c>
      <c r="AL12" s="954"/>
      <c r="AM12" s="502" t="s">
        <v>1369</v>
      </c>
      <c r="AN12" s="66">
        <v>0</v>
      </c>
      <c r="AO12" s="693" t="str">
        <f t="shared" si="5"/>
        <v>Determinar la cartera susceptible de depuración, conforme a las normas contables aplicables</v>
      </c>
      <c r="AP12" s="963"/>
      <c r="AQ12" s="716">
        <v>0</v>
      </c>
      <c r="AR12" s="1082"/>
      <c r="AS12" s="690" t="e">
        <f>+(AQ12/AN12)</f>
        <v>#DIV/0!</v>
      </c>
      <c r="AT12" s="954"/>
      <c r="AU12" s="690">
        <f>+(AQ12+AG12)/Z12</f>
        <v>0</v>
      </c>
      <c r="AV12" s="954"/>
      <c r="AW12" s="763" t="s">
        <v>1726</v>
      </c>
      <c r="AX12" s="66">
        <v>0</v>
      </c>
      <c r="AY12" s="693" t="str">
        <f t="shared" si="10"/>
        <v>Determinar la cartera susceptible de depuración, conforme a las normas contables aplicables</v>
      </c>
      <c r="AZ12" s="963"/>
      <c r="BA12" s="69"/>
      <c r="BB12" s="1026"/>
      <c r="BC12" s="690" t="e">
        <f>+(BA12/AX12)</f>
        <v>#DIV/0!</v>
      </c>
      <c r="BD12" s="954"/>
      <c r="BE12" s="690">
        <f>+(AQ12+AG12+BA12)/Z12</f>
        <v>0</v>
      </c>
      <c r="BF12" s="954"/>
      <c r="BG12" s="690"/>
      <c r="BH12" s="597">
        <v>700</v>
      </c>
      <c r="BI12" s="693" t="str">
        <f t="shared" si="15"/>
        <v>Determinar la cartera susceptible de depuración, conforme a las normas contables aplicables</v>
      </c>
      <c r="BJ12" s="963"/>
      <c r="BK12" s="134"/>
      <c r="BL12" s="1026"/>
      <c r="BM12" s="698">
        <f>+(BK12/BH12)</f>
        <v>0</v>
      </c>
      <c r="BN12" s="1077"/>
      <c r="BO12" s="698">
        <f>+(AQ12+AG12+BA12+BK12)/Z12</f>
        <v>0</v>
      </c>
      <c r="BP12" s="1077"/>
      <c r="BQ12" s="698"/>
      <c r="BR12" s="697" t="str">
        <f>IF(AND(AD12=0,AG12=0),"No Prog ni Ejec",IF(AD12=0,CONCATENATE("No Prog, Ejec=  ",AG12),AG12/AD12))</f>
        <v>No Prog ni Ejec</v>
      </c>
      <c r="BS12" s="966"/>
      <c r="BT12" s="697" t="str">
        <f>IF(AND(AN12=0,AQ12=0),"No Prog ni Ejec",IF(AN12=0,CONCATENATE("No Prog, Ejec=  ",AQ12),AQ12/AN12))</f>
        <v>No Prog ni Ejec</v>
      </c>
      <c r="BU12" s="966"/>
      <c r="BV12" s="697" t="str">
        <f>IF(AND(AX12=0,BA12=0),"No Prog ni Ejec",IF(AX12=0,CONCATENATE("No Prog, Ejec=  ",BA12),BA12/AX12))</f>
        <v>No Prog ni Ejec</v>
      </c>
      <c r="BW12" s="966"/>
      <c r="BX12" s="697">
        <f>IF(AND(BH12=0,BK12=0),"No Prog ni Ejec",IF(BH12=0,CONCATENATE("No Prog, Ejec=  ",BK12),BK12/BH12))</f>
        <v>0</v>
      </c>
      <c r="BY12" s="1023"/>
      <c r="BZ12" s="136">
        <f t="shared" si="28"/>
        <v>0</v>
      </c>
    </row>
    <row r="13" spans="1:229" s="70" customFormat="1" ht="127.5" x14ac:dyDescent="0.2">
      <c r="A13" s="785">
        <v>11900</v>
      </c>
      <c r="B13" s="693" t="s">
        <v>125</v>
      </c>
      <c r="C13" s="693" t="s">
        <v>330</v>
      </c>
      <c r="D13" s="129" t="s">
        <v>1023</v>
      </c>
      <c r="E13" s="129" t="s">
        <v>1023</v>
      </c>
      <c r="F13" s="695" t="s">
        <v>126</v>
      </c>
      <c r="G13" s="693" t="s">
        <v>60</v>
      </c>
      <c r="H13" s="693" t="s">
        <v>204</v>
      </c>
      <c r="I13" s="693" t="s">
        <v>204</v>
      </c>
      <c r="J13" s="695" t="s">
        <v>632</v>
      </c>
      <c r="K13" s="693" t="s">
        <v>647</v>
      </c>
      <c r="L13" s="716" t="s">
        <v>51</v>
      </c>
      <c r="M13" s="706">
        <v>1</v>
      </c>
      <c r="N13" s="695" t="s">
        <v>594</v>
      </c>
      <c r="O13" s="700" t="s">
        <v>646</v>
      </c>
      <c r="P13" s="701">
        <v>27880404</v>
      </c>
      <c r="Q13" s="706">
        <v>1</v>
      </c>
      <c r="R13" s="693" t="s">
        <v>18</v>
      </c>
      <c r="S13" s="693" t="s">
        <v>24</v>
      </c>
      <c r="T13" s="693" t="s">
        <v>204</v>
      </c>
      <c r="U13" s="693" t="s">
        <v>638</v>
      </c>
      <c r="V13" s="693" t="s">
        <v>1048</v>
      </c>
      <c r="W13" s="693" t="s">
        <v>1278</v>
      </c>
      <c r="X13" s="702" t="s">
        <v>1541</v>
      </c>
      <c r="Y13" s="693" t="s">
        <v>204</v>
      </c>
      <c r="Z13" s="698">
        <v>1</v>
      </c>
      <c r="AA13" s="693" t="str">
        <f>+O13</f>
        <v>Actualizar las bases de información sobre la gestión del cobro coactivo</v>
      </c>
      <c r="AB13" s="703">
        <f>+P13</f>
        <v>27880404</v>
      </c>
      <c r="AC13" s="700" t="s">
        <v>46</v>
      </c>
      <c r="AD13" s="698">
        <v>0.25</v>
      </c>
      <c r="AE13" s="693" t="str">
        <f t="shared" si="0"/>
        <v>Actualizar las bases de información sobre la gestión del cobro coactivo</v>
      </c>
      <c r="AF13" s="691">
        <f>(AB13/11)*2</f>
        <v>5069164.3636363633</v>
      </c>
      <c r="AG13" s="493">
        <f>2288/5111*25%</f>
        <v>0.11191547642340051</v>
      </c>
      <c r="AH13" s="494" t="s">
        <v>1367</v>
      </c>
      <c r="AI13" s="690">
        <f>+(AG13/AD13)</f>
        <v>0.44766190569360204</v>
      </c>
      <c r="AJ13" s="690">
        <f>+(AH13/AF13)</f>
        <v>0.80972221564651647</v>
      </c>
      <c r="AK13" s="690">
        <f>+(AG13/Z13)</f>
        <v>0.11191547642340051</v>
      </c>
      <c r="AL13" s="690">
        <f>+(AH13/AB13)</f>
        <v>0.14722222102663934</v>
      </c>
      <c r="AM13" s="502" t="s">
        <v>1616</v>
      </c>
      <c r="AN13" s="698">
        <v>0.25</v>
      </c>
      <c r="AO13" s="693" t="str">
        <f>+AA13</f>
        <v>Actualizar las bases de información sobre la gestión del cobro coactivo</v>
      </c>
      <c r="AP13" s="691">
        <f>(AB13/11)*3</f>
        <v>7603746.5454545449</v>
      </c>
      <c r="AQ13" s="766">
        <f>(18136/18136)*25%</f>
        <v>0.25</v>
      </c>
      <c r="AR13" s="765">
        <v>6970101</v>
      </c>
      <c r="AS13" s="690">
        <f>+(AQ13/AN13)</f>
        <v>1</v>
      </c>
      <c r="AT13" s="690">
        <f>+(AR13/AP13)</f>
        <v>0.91666666666666674</v>
      </c>
      <c r="AU13" s="690">
        <f>+(AQ13+AG13)/Z13</f>
        <v>0.3619154764234005</v>
      </c>
      <c r="AV13" s="690">
        <f>+(AR13+AH13)/AB13</f>
        <v>0.39722222102663934</v>
      </c>
      <c r="AW13" s="764" t="s">
        <v>1727</v>
      </c>
      <c r="AX13" s="698">
        <v>0.25</v>
      </c>
      <c r="AY13" s="693" t="str">
        <f t="shared" si="10"/>
        <v>Actualizar las bases de información sobre la gestión del cobro coactivo</v>
      </c>
      <c r="AZ13" s="691">
        <f>(AB13/11)*3</f>
        <v>7603746.5454545449</v>
      </c>
      <c r="BA13" s="69"/>
      <c r="BB13" s="69"/>
      <c r="BC13" s="690">
        <f>+(BA13/AX13)</f>
        <v>0</v>
      </c>
      <c r="BD13" s="690">
        <f>+(BB13/AZ13)</f>
        <v>0</v>
      </c>
      <c r="BE13" s="690">
        <f>+(AQ13+AG13+BA13)/Z13</f>
        <v>0.3619154764234005</v>
      </c>
      <c r="BF13" s="690">
        <f>+(AR13+AH13+BB13)/AB13</f>
        <v>0.39722222102663934</v>
      </c>
      <c r="BG13" s="690"/>
      <c r="BH13" s="698">
        <v>0.25</v>
      </c>
      <c r="BI13" s="693" t="str">
        <f t="shared" si="15"/>
        <v>Actualizar las bases de información sobre la gestión del cobro coactivo</v>
      </c>
      <c r="BJ13" s="691">
        <f>(AB13/11)*3</f>
        <v>7603746.5454545449</v>
      </c>
      <c r="BK13" s="134"/>
      <c r="BL13" s="134"/>
      <c r="BM13" s="698">
        <f>+(BK13/BH13)</f>
        <v>0</v>
      </c>
      <c r="BN13" s="698">
        <f>+(BL13/BJ13)</f>
        <v>0</v>
      </c>
      <c r="BO13" s="698">
        <f>+(AQ13+AG13+BA13+BK13)/Z13</f>
        <v>0.3619154764234005</v>
      </c>
      <c r="BP13" s="698">
        <f>+(AR13+AH13+BB13+BL13)/AB13</f>
        <v>0.39722222102663934</v>
      </c>
      <c r="BQ13" s="698"/>
      <c r="BR13" s="697">
        <f>IF(AND(AD13=0,AG13=0),"No Prog ni Ejec",IF(AD13=0,CONCATENATE("No Prog, Ejec=  ",AG13),AG13/AD13))</f>
        <v>0.44766190569360204</v>
      </c>
      <c r="BS13" s="697">
        <f>IF(AND(AF13=0,AH13=0),"No Prog ni Ejec",IF(AF13=0,CONCATENATE("No Prog, Ejec=  ",AH13),AH13/AF13))</f>
        <v>0.80972221564651647</v>
      </c>
      <c r="BT13" s="697">
        <f>IF(AND(AN13=0,AQ13=0),"No Prog ni Ejec",IF(AN13=0,CONCATENATE("No Prog, Ejec=  ",AQ13),AQ13/AN13))</f>
        <v>1</v>
      </c>
      <c r="BU13" s="697">
        <f>IF(AND(AP13=0,AR13=0),"No Prog ni Ejec",IF(AP13=0,CONCATENATE("No Prog, Ejec=  ",AR13),AR13/AP13))</f>
        <v>0.91666666666666674</v>
      </c>
      <c r="BV13" s="697">
        <f>IF(AND(AX13=0,BA13=0),"No Prog ni Ejec",IF(AX13=0,CONCATENATE("No Prog, Ejec=  ",BA13),BA13/AX13))</f>
        <v>0</v>
      </c>
      <c r="BW13" s="697">
        <f>IF(AND(AZ13=0,BB13=0),"No Prog ni Ejec",IF(AZ13=0,CONCATENATE("No Prog, Ejec=  ",BB13),BB13/AZ13))</f>
        <v>0</v>
      </c>
      <c r="BX13" s="697">
        <f>IF(AND(BH13=0,BK13=0),"No Prog ni Ejec",IF(BH13=0,CONCATENATE("No Prog, Ejec=  ",BK13),BK13/BH13))</f>
        <v>0</v>
      </c>
      <c r="BY13" s="786">
        <f>IF(AND(BJ13=0,BL13=0),"No Prog ni Ejec",IF(BJ13=0,CONCATENATE("No Prog, Ejec=  ",BL13),BL13/BJ13))</f>
        <v>0</v>
      </c>
      <c r="BZ13" s="136">
        <f t="shared" si="28"/>
        <v>0</v>
      </c>
    </row>
    <row r="14" spans="1:229" s="70" customFormat="1" ht="89.25" x14ac:dyDescent="0.2">
      <c r="A14" s="785">
        <v>11900</v>
      </c>
      <c r="B14" s="693" t="s">
        <v>125</v>
      </c>
      <c r="C14" s="693" t="s">
        <v>330</v>
      </c>
      <c r="D14" s="129" t="s">
        <v>1023</v>
      </c>
      <c r="E14" s="129"/>
      <c r="F14" s="695" t="s">
        <v>126</v>
      </c>
      <c r="G14" s="693" t="s">
        <v>60</v>
      </c>
      <c r="H14" s="693" t="s">
        <v>204</v>
      </c>
      <c r="I14" s="693" t="s">
        <v>204</v>
      </c>
      <c r="J14" s="695" t="s">
        <v>598</v>
      </c>
      <c r="K14" s="959" t="s">
        <v>498</v>
      </c>
      <c r="L14" s="716" t="s">
        <v>51</v>
      </c>
      <c r="M14" s="706">
        <v>1</v>
      </c>
      <c r="N14" s="968" t="s">
        <v>595</v>
      </c>
      <c r="O14" s="972" t="s">
        <v>1545</v>
      </c>
      <c r="P14" s="1053">
        <v>0</v>
      </c>
      <c r="Q14" s="964">
        <v>1</v>
      </c>
      <c r="R14" s="959" t="s">
        <v>17</v>
      </c>
      <c r="S14" s="959" t="s">
        <v>26</v>
      </c>
      <c r="T14" s="959" t="s">
        <v>634</v>
      </c>
      <c r="U14" s="959" t="s">
        <v>636</v>
      </c>
      <c r="V14" s="959" t="s">
        <v>1048</v>
      </c>
      <c r="W14" s="1076" t="s">
        <v>1278</v>
      </c>
      <c r="X14" s="702" t="s">
        <v>1542</v>
      </c>
      <c r="Y14" s="959" t="s">
        <v>204</v>
      </c>
      <c r="Z14" s="87">
        <v>1</v>
      </c>
      <c r="AA14" s="959" t="str">
        <f>+O14</f>
        <v>Determinar la cartera susceptible de venta a CISA S.A.</v>
      </c>
      <c r="AB14" s="965">
        <f>+P14</f>
        <v>0</v>
      </c>
      <c r="AC14" s="700" t="s">
        <v>48</v>
      </c>
      <c r="AD14" s="698">
        <v>0</v>
      </c>
      <c r="AE14" s="959" t="str">
        <f t="shared" si="0"/>
        <v>Determinar la cartera susceptible de venta a CISA S.A.</v>
      </c>
      <c r="AF14" s="965">
        <v>0</v>
      </c>
      <c r="AG14" s="494">
        <v>0</v>
      </c>
      <c r="AH14" s="521">
        <v>0</v>
      </c>
      <c r="AI14" s="690" t="e">
        <f t="shared" si="1"/>
        <v>#DIV/0!</v>
      </c>
      <c r="AJ14" s="690" t="e">
        <f t="shared" si="2"/>
        <v>#DIV/0!</v>
      </c>
      <c r="AK14" s="690">
        <f t="shared" si="3"/>
        <v>0</v>
      </c>
      <c r="AL14" s="690" t="e">
        <f t="shared" si="4"/>
        <v>#DIV/0!</v>
      </c>
      <c r="AM14" s="502" t="s">
        <v>1370</v>
      </c>
      <c r="AN14" s="698">
        <v>0</v>
      </c>
      <c r="AO14" s="959" t="str">
        <f t="shared" si="5"/>
        <v>Determinar la cartera susceptible de venta a CISA S.A.</v>
      </c>
      <c r="AP14" s="965">
        <v>0</v>
      </c>
      <c r="AQ14" s="515">
        <v>0</v>
      </c>
      <c r="AR14" s="691">
        <v>0</v>
      </c>
      <c r="AS14" s="690" t="e">
        <f t="shared" si="6"/>
        <v>#DIV/0!</v>
      </c>
      <c r="AT14" s="690" t="e">
        <f t="shared" si="7"/>
        <v>#DIV/0!</v>
      </c>
      <c r="AU14" s="690">
        <f t="shared" si="8"/>
        <v>0</v>
      </c>
      <c r="AV14" s="690" t="e">
        <f t="shared" si="9"/>
        <v>#DIV/0!</v>
      </c>
      <c r="AW14" s="763" t="s">
        <v>1728</v>
      </c>
      <c r="AX14" s="698">
        <v>0</v>
      </c>
      <c r="AY14" s="959" t="str">
        <f t="shared" si="10"/>
        <v>Determinar la cartera susceptible de venta a CISA S.A.</v>
      </c>
      <c r="AZ14" s="965">
        <v>0</v>
      </c>
      <c r="BA14" s="69"/>
      <c r="BB14" s="69"/>
      <c r="BC14" s="690" t="e">
        <f t="shared" si="11"/>
        <v>#DIV/0!</v>
      </c>
      <c r="BD14" s="690" t="e">
        <f t="shared" si="12"/>
        <v>#DIV/0!</v>
      </c>
      <c r="BE14" s="690">
        <f t="shared" si="13"/>
        <v>0</v>
      </c>
      <c r="BF14" s="690" t="e">
        <f t="shared" si="14"/>
        <v>#DIV/0!</v>
      </c>
      <c r="BG14" s="690"/>
      <c r="BH14" s="698">
        <v>1</v>
      </c>
      <c r="BI14" s="959" t="str">
        <f t="shared" si="15"/>
        <v>Determinar la cartera susceptible de venta a CISA S.A.</v>
      </c>
      <c r="BJ14" s="965">
        <v>0</v>
      </c>
      <c r="BK14" s="134"/>
      <c r="BL14" s="134"/>
      <c r="BM14" s="698">
        <f t="shared" si="16"/>
        <v>0</v>
      </c>
      <c r="BN14" s="698" t="e">
        <f t="shared" si="17"/>
        <v>#DIV/0!</v>
      </c>
      <c r="BO14" s="698">
        <f t="shared" si="18"/>
        <v>0</v>
      </c>
      <c r="BP14" s="698" t="e">
        <f t="shared" si="19"/>
        <v>#DIV/0!</v>
      </c>
      <c r="BQ14" s="698"/>
      <c r="BR14" s="697" t="str">
        <f t="shared" si="20"/>
        <v>No Prog ni Ejec</v>
      </c>
      <c r="BS14" s="697" t="str">
        <f t="shared" si="21"/>
        <v>No Prog ni Ejec</v>
      </c>
      <c r="BT14" s="697" t="str">
        <f t="shared" si="22"/>
        <v>No Prog ni Ejec</v>
      </c>
      <c r="BU14" s="697" t="str">
        <f t="shared" si="23"/>
        <v>No Prog ni Ejec</v>
      </c>
      <c r="BV14" s="697" t="str">
        <f t="shared" si="24"/>
        <v>No Prog ni Ejec</v>
      </c>
      <c r="BW14" s="697" t="str">
        <f t="shared" si="25"/>
        <v>No Prog ni Ejec</v>
      </c>
      <c r="BX14" s="697">
        <f t="shared" si="26"/>
        <v>0</v>
      </c>
      <c r="BY14" s="786" t="str">
        <f t="shared" si="27"/>
        <v>No Prog ni Ejec</v>
      </c>
      <c r="BZ14" s="136">
        <f t="shared" si="28"/>
        <v>0</v>
      </c>
    </row>
    <row r="15" spans="1:229" s="70" customFormat="1" ht="38.25" customHeight="1" x14ac:dyDescent="0.2">
      <c r="A15" s="785">
        <v>11900</v>
      </c>
      <c r="B15" s="693" t="s">
        <v>125</v>
      </c>
      <c r="C15" s="693" t="s">
        <v>330</v>
      </c>
      <c r="D15" s="129" t="s">
        <v>1023</v>
      </c>
      <c r="E15" s="129"/>
      <c r="F15" s="695" t="s">
        <v>126</v>
      </c>
      <c r="G15" s="693" t="s">
        <v>60</v>
      </c>
      <c r="H15" s="693" t="s">
        <v>204</v>
      </c>
      <c r="I15" s="693" t="s">
        <v>204</v>
      </c>
      <c r="J15" s="695" t="s">
        <v>599</v>
      </c>
      <c r="K15" s="959"/>
      <c r="L15" s="716" t="s">
        <v>51</v>
      </c>
      <c r="M15" s="638">
        <v>1.35E-2</v>
      </c>
      <c r="N15" s="968"/>
      <c r="O15" s="972"/>
      <c r="P15" s="1053"/>
      <c r="Q15" s="964"/>
      <c r="R15" s="959"/>
      <c r="S15" s="959"/>
      <c r="T15" s="959"/>
      <c r="U15" s="959"/>
      <c r="V15" s="959"/>
      <c r="W15" s="1076"/>
      <c r="X15" s="702" t="s">
        <v>1543</v>
      </c>
      <c r="Y15" s="959"/>
      <c r="Z15" s="638">
        <v>1.35E-2</v>
      </c>
      <c r="AA15" s="959"/>
      <c r="AB15" s="965"/>
      <c r="AC15" s="700" t="s">
        <v>48</v>
      </c>
      <c r="AD15" s="698">
        <v>0</v>
      </c>
      <c r="AE15" s="959">
        <f t="shared" si="0"/>
        <v>0</v>
      </c>
      <c r="AF15" s="965"/>
      <c r="AG15" s="487">
        <v>0</v>
      </c>
      <c r="AH15" s="521">
        <v>0</v>
      </c>
      <c r="AI15" s="690" t="e">
        <f t="shared" si="1"/>
        <v>#DIV/0!</v>
      </c>
      <c r="AJ15" s="690" t="e">
        <f t="shared" si="2"/>
        <v>#DIV/0!</v>
      </c>
      <c r="AK15" s="690">
        <f t="shared" si="3"/>
        <v>0</v>
      </c>
      <c r="AL15" s="690" t="e">
        <f t="shared" si="4"/>
        <v>#DIV/0!</v>
      </c>
      <c r="AM15" s="502" t="s">
        <v>1371</v>
      </c>
      <c r="AN15" s="698">
        <v>0</v>
      </c>
      <c r="AO15" s="959">
        <f t="shared" si="5"/>
        <v>0</v>
      </c>
      <c r="AP15" s="965"/>
      <c r="AQ15" s="515">
        <v>0</v>
      </c>
      <c r="AR15" s="691">
        <v>0</v>
      </c>
      <c r="AS15" s="690" t="e">
        <f t="shared" si="6"/>
        <v>#DIV/0!</v>
      </c>
      <c r="AT15" s="690" t="e">
        <f t="shared" si="7"/>
        <v>#DIV/0!</v>
      </c>
      <c r="AU15" s="690">
        <f t="shared" si="8"/>
        <v>0</v>
      </c>
      <c r="AV15" s="690" t="e">
        <f t="shared" si="9"/>
        <v>#DIV/0!</v>
      </c>
      <c r="AW15" s="763" t="s">
        <v>1728</v>
      </c>
      <c r="AX15" s="698">
        <v>0</v>
      </c>
      <c r="AY15" s="959">
        <f t="shared" si="10"/>
        <v>0</v>
      </c>
      <c r="AZ15" s="965"/>
      <c r="BA15" s="69"/>
      <c r="BB15" s="69"/>
      <c r="BC15" s="690" t="e">
        <f t="shared" si="11"/>
        <v>#DIV/0!</v>
      </c>
      <c r="BD15" s="690" t="e">
        <f t="shared" si="12"/>
        <v>#DIV/0!</v>
      </c>
      <c r="BE15" s="690">
        <f t="shared" si="13"/>
        <v>0</v>
      </c>
      <c r="BF15" s="690" t="e">
        <f t="shared" si="14"/>
        <v>#DIV/0!</v>
      </c>
      <c r="BG15" s="690"/>
      <c r="BH15" s="637">
        <v>1.35E-2</v>
      </c>
      <c r="BI15" s="959">
        <f t="shared" si="15"/>
        <v>0</v>
      </c>
      <c r="BJ15" s="965"/>
      <c r="BK15" s="134"/>
      <c r="BL15" s="134"/>
      <c r="BM15" s="698">
        <f t="shared" si="16"/>
        <v>0</v>
      </c>
      <c r="BN15" s="698" t="e">
        <f t="shared" si="17"/>
        <v>#DIV/0!</v>
      </c>
      <c r="BO15" s="698">
        <f t="shared" si="18"/>
        <v>0</v>
      </c>
      <c r="BP15" s="698" t="e">
        <f t="shared" si="19"/>
        <v>#DIV/0!</v>
      </c>
      <c r="BQ15" s="698"/>
      <c r="BR15" s="697" t="str">
        <f t="shared" si="20"/>
        <v>No Prog ni Ejec</v>
      </c>
      <c r="BS15" s="697" t="str">
        <f t="shared" si="21"/>
        <v>No Prog ni Ejec</v>
      </c>
      <c r="BT15" s="697" t="str">
        <f t="shared" si="22"/>
        <v>No Prog ni Ejec</v>
      </c>
      <c r="BU15" s="697" t="str">
        <f t="shared" si="23"/>
        <v>No Prog ni Ejec</v>
      </c>
      <c r="BV15" s="697" t="str">
        <f t="shared" si="24"/>
        <v>No Prog ni Ejec</v>
      </c>
      <c r="BW15" s="697" t="str">
        <f t="shared" si="25"/>
        <v>No Prog ni Ejec</v>
      </c>
      <c r="BX15" s="697">
        <f t="shared" si="26"/>
        <v>0</v>
      </c>
      <c r="BY15" s="786" t="str">
        <f t="shared" si="27"/>
        <v>No Prog ni Ejec</v>
      </c>
      <c r="BZ15" s="136">
        <f t="shared" si="28"/>
        <v>0</v>
      </c>
    </row>
    <row r="16" spans="1:229" s="86" customFormat="1" ht="216.75" x14ac:dyDescent="0.2">
      <c r="A16" s="785">
        <v>11300</v>
      </c>
      <c r="B16" s="693" t="s">
        <v>2</v>
      </c>
      <c r="C16" s="693" t="s">
        <v>330</v>
      </c>
      <c r="D16" s="129" t="s">
        <v>1023</v>
      </c>
      <c r="E16" s="129"/>
      <c r="F16" s="695" t="s">
        <v>62</v>
      </c>
      <c r="G16" s="693" t="s">
        <v>59</v>
      </c>
      <c r="H16" s="693" t="s">
        <v>204</v>
      </c>
      <c r="I16" s="693" t="s">
        <v>204</v>
      </c>
      <c r="J16" s="695" t="s">
        <v>113</v>
      </c>
      <c r="K16" s="693" t="s">
        <v>153</v>
      </c>
      <c r="L16" s="716" t="s">
        <v>52</v>
      </c>
      <c r="M16" s="695">
        <v>12</v>
      </c>
      <c r="N16" s="695" t="s">
        <v>1315</v>
      </c>
      <c r="O16" s="693" t="s">
        <v>88</v>
      </c>
      <c r="P16" s="132">
        <v>0</v>
      </c>
      <c r="Q16" s="706">
        <v>1</v>
      </c>
      <c r="R16" s="693" t="s">
        <v>17</v>
      </c>
      <c r="S16" s="693" t="s">
        <v>26</v>
      </c>
      <c r="T16" s="693" t="s">
        <v>634</v>
      </c>
      <c r="U16" s="693" t="s">
        <v>637</v>
      </c>
      <c r="V16" s="693" t="s">
        <v>72</v>
      </c>
      <c r="W16" s="693"/>
      <c r="X16" s="693" t="s">
        <v>163</v>
      </c>
      <c r="Y16" s="693" t="s">
        <v>40</v>
      </c>
      <c r="Z16" s="695">
        <v>12</v>
      </c>
      <c r="AA16" s="693" t="str">
        <f t="shared" ref="AA16:AB20" si="29">+O16</f>
        <v>Realizar Informes de Ejecución Presupuestal</v>
      </c>
      <c r="AB16" s="703">
        <f t="shared" si="29"/>
        <v>0</v>
      </c>
      <c r="AC16" s="700" t="s">
        <v>48</v>
      </c>
      <c r="AD16" s="67">
        <v>3</v>
      </c>
      <c r="AE16" s="693" t="str">
        <f t="shared" ref="AE16:AE21" si="30">+AA16</f>
        <v>Realizar Informes de Ejecución Presupuestal</v>
      </c>
      <c r="AF16" s="691">
        <v>0</v>
      </c>
      <c r="AG16" s="492">
        <v>3</v>
      </c>
      <c r="AH16" s="709">
        <v>0</v>
      </c>
      <c r="AI16" s="690">
        <f t="shared" ref="AI16:AI21" si="31">+(AG16/AD16)</f>
        <v>1</v>
      </c>
      <c r="AJ16" s="690" t="e">
        <f t="shared" ref="AJ16:AJ21" si="32">+(AH16/AF16)</f>
        <v>#DIV/0!</v>
      </c>
      <c r="AK16" s="690">
        <f t="shared" ref="AK16:AK21" si="33">+(AG16/Z16)</f>
        <v>0.25</v>
      </c>
      <c r="AL16" s="690" t="e">
        <f t="shared" ref="AL16:AL21" si="34">+(AH16/AB16)</f>
        <v>#DIV/0!</v>
      </c>
      <c r="AM16" s="495" t="s">
        <v>1764</v>
      </c>
      <c r="AN16" s="67">
        <v>3</v>
      </c>
      <c r="AO16" s="693" t="str">
        <f t="shared" ref="AO16:AO21" si="35">+AA16</f>
        <v>Realizar Informes de Ejecución Presupuestal</v>
      </c>
      <c r="AP16" s="691">
        <v>0</v>
      </c>
      <c r="AQ16" s="716">
        <v>3</v>
      </c>
      <c r="AR16" s="709">
        <v>0</v>
      </c>
      <c r="AS16" s="690">
        <f t="shared" ref="AS16:AS21" si="36">+(AQ16/AN16)</f>
        <v>1</v>
      </c>
      <c r="AT16" s="690" t="e">
        <f t="shared" ref="AT16:AT21" si="37">+(AR16/AP16)</f>
        <v>#DIV/0!</v>
      </c>
      <c r="AU16" s="690">
        <f t="shared" ref="AU16:AU21" si="38">+(AQ16+AG16)/Z16</f>
        <v>0.5</v>
      </c>
      <c r="AV16" s="690" t="e">
        <f t="shared" ref="AV16:AV21" si="39">+(AR16+AH16)/AB16</f>
        <v>#DIV/0!</v>
      </c>
      <c r="AW16" s="516" t="s">
        <v>1765</v>
      </c>
      <c r="AX16" s="67">
        <v>3</v>
      </c>
      <c r="AY16" s="693" t="str">
        <f t="shared" ref="AY16:AY21" si="40">+AA16</f>
        <v>Realizar Informes de Ejecución Presupuestal</v>
      </c>
      <c r="AZ16" s="691">
        <v>0</v>
      </c>
      <c r="BA16" s="69"/>
      <c r="BB16" s="69"/>
      <c r="BC16" s="690">
        <f t="shared" ref="BC16:BC21" si="41">+(BA16/AX16)</f>
        <v>0</v>
      </c>
      <c r="BD16" s="690" t="e">
        <f t="shared" ref="BD16:BD21" si="42">+(BB16/AZ16)</f>
        <v>#DIV/0!</v>
      </c>
      <c r="BE16" s="690">
        <f t="shared" ref="BE16:BE21" si="43">+(AQ16+AG16+BA16)/Z16</f>
        <v>0.5</v>
      </c>
      <c r="BF16" s="690" t="e">
        <f t="shared" ref="BF16:BF21" si="44">+(AR16+AH16+BB16)/AB16</f>
        <v>#DIV/0!</v>
      </c>
      <c r="BG16" s="690"/>
      <c r="BH16" s="67">
        <v>3</v>
      </c>
      <c r="BI16" s="693" t="str">
        <f t="shared" ref="BI16:BI21" si="45">+AA16</f>
        <v>Realizar Informes de Ejecución Presupuestal</v>
      </c>
      <c r="BJ16" s="691">
        <v>0</v>
      </c>
      <c r="BK16" s="134"/>
      <c r="BL16" s="134"/>
      <c r="BM16" s="698">
        <f t="shared" ref="BM16:BM21" si="46">+(BK16/BH16)</f>
        <v>0</v>
      </c>
      <c r="BN16" s="698" t="e">
        <f t="shared" ref="BN16:BN21" si="47">+(BL16/BJ16)</f>
        <v>#DIV/0!</v>
      </c>
      <c r="BO16" s="698">
        <f t="shared" ref="BO16:BO21" si="48">+(AQ16+AG16+BA16+BK16)/Z16</f>
        <v>0.5</v>
      </c>
      <c r="BP16" s="698" t="e">
        <f t="shared" ref="BP16:BP21" si="49">+(AR16+AH16+BB16+BL16)/AB16</f>
        <v>#DIV/0!</v>
      </c>
      <c r="BQ16" s="698"/>
      <c r="BR16" s="85">
        <f t="shared" ref="BR16:BR21" si="50">IF(AND(AD16=0,AG16=0),"No Prog ni Ejec",IF(AD16=0,CONCATENATE("No Prog, Ejec=  ",AG16),AG16/AD16))</f>
        <v>1</v>
      </c>
      <c r="BS16" s="85" t="str">
        <f t="shared" ref="BS16:BS21" si="51">IF(AND(AF16=0,AH16=0),"No Prog ni Ejec",IF(AF16=0,CONCATENATE("No Prog, Ejec=  ",AH16),AH16/AF16))</f>
        <v>No Prog ni Ejec</v>
      </c>
      <c r="BT16" s="85">
        <f t="shared" ref="BT16:BT21" si="52">IF(AND(AN16=0,AQ16=0),"No Prog ni Ejec",IF(AN16=0,CONCATENATE("No Prog, Ejec=  ",AQ16),AQ16/AN16))</f>
        <v>1</v>
      </c>
      <c r="BU16" s="85" t="str">
        <f t="shared" ref="BU16:BU21" si="53">IF(AND(AP16=0,AR16=0),"No Prog ni Ejec",IF(AP16=0,CONCATENATE("No Prog, Ejec=  ",AR16),AR16/AP16))</f>
        <v>No Prog ni Ejec</v>
      </c>
      <c r="BV16" s="85">
        <f t="shared" ref="BV16:BV21" si="54">IF(AND(AX16=0,BA16=0),"No Prog ni Ejec",IF(AX16=0,CONCATENATE("No Prog, Ejec=  ",BA16),BA16/AX16))</f>
        <v>0</v>
      </c>
      <c r="BW16" s="85" t="str">
        <f t="shared" ref="BW16:BW21" si="55">IF(AND(AZ16=0,BB16=0),"No Prog ni Ejec",IF(AZ16=0,CONCATENATE("No Prog, Ejec=  ",BB16),BB16/AZ16))</f>
        <v>No Prog ni Ejec</v>
      </c>
      <c r="BX16" s="85">
        <f t="shared" ref="BX16:BX21" si="56">IF(AND(BH16=0,BK16=0),"No Prog ni Ejec",IF(BH16=0,CONCATENATE("No Prog, Ejec=  ",BK16),BK16/BH16))</f>
        <v>0</v>
      </c>
      <c r="BY16" s="829" t="str">
        <f t="shared" ref="BY16:BY21" si="57">IF(AND(BJ16=0,BL16=0),"No Prog ni Ejec",IF(BJ16=0,CONCATENATE("No Prog, Ejec=  ",BL16),BL16/BJ16))</f>
        <v>No Prog ni Ejec</v>
      </c>
      <c r="BZ16" s="136">
        <f t="shared" si="28"/>
        <v>0</v>
      </c>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row>
    <row r="17" spans="1:229" s="86" customFormat="1" ht="267.75" x14ac:dyDescent="0.2">
      <c r="A17" s="785">
        <v>11300</v>
      </c>
      <c r="B17" s="693" t="s">
        <v>2</v>
      </c>
      <c r="C17" s="693" t="s">
        <v>330</v>
      </c>
      <c r="D17" s="129" t="s">
        <v>1023</v>
      </c>
      <c r="E17" s="129" t="s">
        <v>1023</v>
      </c>
      <c r="F17" s="695" t="s">
        <v>62</v>
      </c>
      <c r="G17" s="693" t="s">
        <v>59</v>
      </c>
      <c r="H17" s="693" t="s">
        <v>204</v>
      </c>
      <c r="I17" s="693" t="s">
        <v>204</v>
      </c>
      <c r="J17" s="695" t="s">
        <v>910</v>
      </c>
      <c r="K17" s="693" t="s">
        <v>89</v>
      </c>
      <c r="L17" s="716" t="s">
        <v>51</v>
      </c>
      <c r="M17" s="706">
        <v>1</v>
      </c>
      <c r="N17" s="695" t="s">
        <v>1316</v>
      </c>
      <c r="O17" s="693" t="s">
        <v>90</v>
      </c>
      <c r="P17" s="132">
        <v>215224404</v>
      </c>
      <c r="Q17" s="706">
        <v>1</v>
      </c>
      <c r="R17" s="693" t="s">
        <v>17</v>
      </c>
      <c r="S17" s="693" t="s">
        <v>26</v>
      </c>
      <c r="T17" s="693" t="s">
        <v>634</v>
      </c>
      <c r="U17" s="693" t="s">
        <v>637</v>
      </c>
      <c r="V17" s="693" t="s">
        <v>73</v>
      </c>
      <c r="W17" s="693" t="s">
        <v>1282</v>
      </c>
      <c r="X17" s="693" t="s">
        <v>156</v>
      </c>
      <c r="Y17" s="693" t="s">
        <v>204</v>
      </c>
      <c r="Z17" s="706">
        <v>1</v>
      </c>
      <c r="AA17" s="693" t="str">
        <f t="shared" si="29"/>
        <v>Seguimiento e identificación del Recaudo</v>
      </c>
      <c r="AB17" s="703">
        <f t="shared" si="29"/>
        <v>215224404</v>
      </c>
      <c r="AC17" s="700" t="s">
        <v>46</v>
      </c>
      <c r="AD17" s="698">
        <v>0.25</v>
      </c>
      <c r="AE17" s="693" t="str">
        <f t="shared" si="30"/>
        <v>Seguimiento e identificación del Recaudo</v>
      </c>
      <c r="AF17" s="691">
        <f>AB17/4</f>
        <v>53806101</v>
      </c>
      <c r="AG17" s="493">
        <f>(110346/110415)*AD17</f>
        <v>0.24984377122673551</v>
      </c>
      <c r="AH17" s="709">
        <v>44240572</v>
      </c>
      <c r="AI17" s="690">
        <f t="shared" si="31"/>
        <v>0.99937508490694205</v>
      </c>
      <c r="AJ17" s="690">
        <f t="shared" si="32"/>
        <v>0.82222222346123908</v>
      </c>
      <c r="AK17" s="690">
        <f t="shared" si="33"/>
        <v>0.24984377122673551</v>
      </c>
      <c r="AL17" s="690">
        <f t="shared" si="34"/>
        <v>0.20555555586530977</v>
      </c>
      <c r="AM17" s="495" t="s">
        <v>1339</v>
      </c>
      <c r="AN17" s="698">
        <v>0.25</v>
      </c>
      <c r="AO17" s="693" t="str">
        <f t="shared" si="35"/>
        <v>Seguimiento e identificación del Recaudo</v>
      </c>
      <c r="AP17" s="691">
        <f>AB17/4</f>
        <v>53806101</v>
      </c>
      <c r="AQ17" s="514">
        <f>(117702/117726)*AN17</f>
        <v>0.24994903419805312</v>
      </c>
      <c r="AR17" s="691">
        <v>53806101</v>
      </c>
      <c r="AS17" s="944">
        <f t="shared" si="36"/>
        <v>0.99979613679221246</v>
      </c>
      <c r="AT17" s="690">
        <f t="shared" si="37"/>
        <v>1</v>
      </c>
      <c r="AU17" s="690">
        <f t="shared" si="38"/>
        <v>0.49979280542478866</v>
      </c>
      <c r="AV17" s="690">
        <f t="shared" si="39"/>
        <v>0.45555555586530977</v>
      </c>
      <c r="AW17" s="516" t="s">
        <v>1692</v>
      </c>
      <c r="AX17" s="698">
        <v>0.25</v>
      </c>
      <c r="AY17" s="693" t="str">
        <f t="shared" si="40"/>
        <v>Seguimiento e identificación del Recaudo</v>
      </c>
      <c r="AZ17" s="691">
        <f>AB17/4</f>
        <v>53806101</v>
      </c>
      <c r="BA17" s="69"/>
      <c r="BB17" s="69"/>
      <c r="BC17" s="690">
        <f t="shared" si="41"/>
        <v>0</v>
      </c>
      <c r="BD17" s="690">
        <f t="shared" si="42"/>
        <v>0</v>
      </c>
      <c r="BE17" s="690">
        <f t="shared" si="43"/>
        <v>0.49979280542478866</v>
      </c>
      <c r="BF17" s="690">
        <f t="shared" si="44"/>
        <v>0.45555555586530977</v>
      </c>
      <c r="BG17" s="690"/>
      <c r="BH17" s="698">
        <v>0.25</v>
      </c>
      <c r="BI17" s="693" t="str">
        <f t="shared" si="45"/>
        <v>Seguimiento e identificación del Recaudo</v>
      </c>
      <c r="BJ17" s="691">
        <f>AB17/4</f>
        <v>53806101</v>
      </c>
      <c r="BK17" s="134"/>
      <c r="BL17" s="134"/>
      <c r="BM17" s="698">
        <f t="shared" si="46"/>
        <v>0</v>
      </c>
      <c r="BN17" s="698">
        <f t="shared" si="47"/>
        <v>0</v>
      </c>
      <c r="BO17" s="698">
        <f t="shared" si="48"/>
        <v>0.49979280542478866</v>
      </c>
      <c r="BP17" s="698">
        <f t="shared" si="49"/>
        <v>0.45555555586530977</v>
      </c>
      <c r="BQ17" s="698"/>
      <c r="BR17" s="85">
        <f t="shared" si="50"/>
        <v>0.99937508490694205</v>
      </c>
      <c r="BS17" s="85">
        <f t="shared" si="51"/>
        <v>0.82222222346123908</v>
      </c>
      <c r="BT17" s="85">
        <f t="shared" si="52"/>
        <v>0.99979613679221246</v>
      </c>
      <c r="BU17" s="85">
        <f t="shared" si="53"/>
        <v>1</v>
      </c>
      <c r="BV17" s="85">
        <f t="shared" si="54"/>
        <v>0</v>
      </c>
      <c r="BW17" s="85">
        <f t="shared" si="55"/>
        <v>0</v>
      </c>
      <c r="BX17" s="85">
        <f t="shared" si="56"/>
        <v>0</v>
      </c>
      <c r="BY17" s="829">
        <f t="shared" si="57"/>
        <v>0</v>
      </c>
      <c r="BZ17" s="136">
        <f t="shared" si="28"/>
        <v>0</v>
      </c>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row>
    <row r="18" spans="1:229" s="86" customFormat="1" ht="255" x14ac:dyDescent="0.2">
      <c r="A18" s="785">
        <v>11300</v>
      </c>
      <c r="B18" s="693" t="s">
        <v>2</v>
      </c>
      <c r="C18" s="693" t="s">
        <v>330</v>
      </c>
      <c r="D18" s="129" t="s">
        <v>1023</v>
      </c>
      <c r="E18" s="129" t="s">
        <v>1023</v>
      </c>
      <c r="F18" s="695" t="s">
        <v>62</v>
      </c>
      <c r="G18" s="693" t="s">
        <v>59</v>
      </c>
      <c r="H18" s="693" t="s">
        <v>204</v>
      </c>
      <c r="I18" s="693" t="s">
        <v>204</v>
      </c>
      <c r="J18" s="695" t="s">
        <v>911</v>
      </c>
      <c r="K18" s="693" t="s">
        <v>92</v>
      </c>
      <c r="L18" s="716" t="s">
        <v>51</v>
      </c>
      <c r="M18" s="706">
        <v>1</v>
      </c>
      <c r="N18" s="695" t="s">
        <v>1317</v>
      </c>
      <c r="O18" s="693" t="s">
        <v>460</v>
      </c>
      <c r="P18" s="132">
        <v>313146156</v>
      </c>
      <c r="Q18" s="706">
        <v>1</v>
      </c>
      <c r="R18" s="693" t="s">
        <v>17</v>
      </c>
      <c r="S18" s="693" t="s">
        <v>26</v>
      </c>
      <c r="T18" s="693" t="s">
        <v>634</v>
      </c>
      <c r="U18" s="693" t="s">
        <v>637</v>
      </c>
      <c r="V18" s="693" t="s">
        <v>74</v>
      </c>
      <c r="W18" s="693" t="s">
        <v>1283</v>
      </c>
      <c r="X18" s="693" t="s">
        <v>455</v>
      </c>
      <c r="Y18" s="693" t="s">
        <v>204</v>
      </c>
      <c r="Z18" s="706">
        <v>1</v>
      </c>
      <c r="AA18" s="693" t="str">
        <f t="shared" si="29"/>
        <v>Tramitar Ordenes de Giro</v>
      </c>
      <c r="AB18" s="703">
        <f t="shared" si="29"/>
        <v>313146156</v>
      </c>
      <c r="AC18" s="700" t="s">
        <v>46</v>
      </c>
      <c r="AD18" s="698">
        <v>0.25</v>
      </c>
      <c r="AE18" s="693" t="str">
        <f t="shared" si="30"/>
        <v>Tramitar Ordenes de Giro</v>
      </c>
      <c r="AF18" s="691">
        <f>AB18/4</f>
        <v>78286539</v>
      </c>
      <c r="AG18" s="493">
        <f>(57892/57892)*AD18</f>
        <v>0.25</v>
      </c>
      <c r="AH18" s="709">
        <v>61187081</v>
      </c>
      <c r="AI18" s="690">
        <f t="shared" si="31"/>
        <v>1</v>
      </c>
      <c r="AJ18" s="690">
        <f t="shared" si="32"/>
        <v>0.78157856742140563</v>
      </c>
      <c r="AK18" s="690">
        <f t="shared" si="33"/>
        <v>0.25</v>
      </c>
      <c r="AL18" s="690">
        <f t="shared" si="34"/>
        <v>0.19539464185535141</v>
      </c>
      <c r="AM18" s="495" t="s">
        <v>1617</v>
      </c>
      <c r="AN18" s="698">
        <v>0.25</v>
      </c>
      <c r="AO18" s="693" t="str">
        <f t="shared" si="35"/>
        <v>Tramitar Ordenes de Giro</v>
      </c>
      <c r="AP18" s="691">
        <f>AB18/4</f>
        <v>78286539</v>
      </c>
      <c r="AQ18" s="767">
        <f>(62431/62431)*AN18</f>
        <v>0.25</v>
      </c>
      <c r="AR18" s="691">
        <v>78286539</v>
      </c>
      <c r="AS18" s="690">
        <f t="shared" si="36"/>
        <v>1</v>
      </c>
      <c r="AT18" s="690">
        <f t="shared" si="37"/>
        <v>1</v>
      </c>
      <c r="AU18" s="690">
        <f t="shared" si="38"/>
        <v>0.5</v>
      </c>
      <c r="AV18" s="690">
        <f t="shared" si="39"/>
        <v>0.44539464185535138</v>
      </c>
      <c r="AW18" s="516" t="s">
        <v>1766</v>
      </c>
      <c r="AX18" s="698">
        <v>0.25</v>
      </c>
      <c r="AY18" s="693" t="str">
        <f t="shared" si="40"/>
        <v>Tramitar Ordenes de Giro</v>
      </c>
      <c r="AZ18" s="691">
        <f>AB18/4</f>
        <v>78286539</v>
      </c>
      <c r="BA18" s="69"/>
      <c r="BB18" s="69"/>
      <c r="BC18" s="690">
        <f t="shared" si="41"/>
        <v>0</v>
      </c>
      <c r="BD18" s="690">
        <f t="shared" si="42"/>
        <v>0</v>
      </c>
      <c r="BE18" s="690">
        <f t="shared" si="43"/>
        <v>0.5</v>
      </c>
      <c r="BF18" s="690">
        <f t="shared" si="44"/>
        <v>0.44539464185535138</v>
      </c>
      <c r="BG18" s="690"/>
      <c r="BH18" s="698">
        <v>0.25</v>
      </c>
      <c r="BI18" s="693" t="str">
        <f t="shared" si="45"/>
        <v>Tramitar Ordenes de Giro</v>
      </c>
      <c r="BJ18" s="691">
        <f>AB18/4</f>
        <v>78286539</v>
      </c>
      <c r="BK18" s="134"/>
      <c r="BL18" s="134"/>
      <c r="BM18" s="698">
        <f t="shared" si="46"/>
        <v>0</v>
      </c>
      <c r="BN18" s="698">
        <f t="shared" si="47"/>
        <v>0</v>
      </c>
      <c r="BO18" s="698">
        <f t="shared" si="48"/>
        <v>0.5</v>
      </c>
      <c r="BP18" s="698">
        <f t="shared" si="49"/>
        <v>0.44539464185535138</v>
      </c>
      <c r="BQ18" s="698"/>
      <c r="BR18" s="85">
        <f t="shared" si="50"/>
        <v>1</v>
      </c>
      <c r="BS18" s="85">
        <f t="shared" si="51"/>
        <v>0.78157856742140563</v>
      </c>
      <c r="BT18" s="85">
        <f t="shared" si="52"/>
        <v>1</v>
      </c>
      <c r="BU18" s="85">
        <f t="shared" si="53"/>
        <v>1</v>
      </c>
      <c r="BV18" s="85">
        <f t="shared" si="54"/>
        <v>0</v>
      </c>
      <c r="BW18" s="85">
        <f t="shared" si="55"/>
        <v>0</v>
      </c>
      <c r="BX18" s="85">
        <f t="shared" si="56"/>
        <v>0</v>
      </c>
      <c r="BY18" s="829">
        <f t="shared" si="57"/>
        <v>0</v>
      </c>
      <c r="BZ18" s="136">
        <f t="shared" si="28"/>
        <v>0</v>
      </c>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row>
    <row r="19" spans="1:229" s="86" customFormat="1" ht="204" x14ac:dyDescent="0.2">
      <c r="A19" s="785">
        <v>11300</v>
      </c>
      <c r="B19" s="693" t="s">
        <v>2</v>
      </c>
      <c r="C19" s="693" t="s">
        <v>330</v>
      </c>
      <c r="D19" s="129" t="s">
        <v>1023</v>
      </c>
      <c r="E19" s="129" t="s">
        <v>1023</v>
      </c>
      <c r="F19" s="695" t="s">
        <v>62</v>
      </c>
      <c r="G19" s="693" t="s">
        <v>59</v>
      </c>
      <c r="H19" s="693" t="s">
        <v>204</v>
      </c>
      <c r="I19" s="693" t="s">
        <v>204</v>
      </c>
      <c r="J19" s="695" t="s">
        <v>912</v>
      </c>
      <c r="K19" s="693" t="s">
        <v>458</v>
      </c>
      <c r="L19" s="716" t="s">
        <v>51</v>
      </c>
      <c r="M19" s="706">
        <v>1</v>
      </c>
      <c r="N19" s="695" t="s">
        <v>1318</v>
      </c>
      <c r="O19" s="693" t="s">
        <v>459</v>
      </c>
      <c r="P19" s="132">
        <v>48960000</v>
      </c>
      <c r="Q19" s="706">
        <v>1</v>
      </c>
      <c r="R19" s="693" t="s">
        <v>17</v>
      </c>
      <c r="S19" s="693" t="s">
        <v>26</v>
      </c>
      <c r="T19" s="693" t="s">
        <v>634</v>
      </c>
      <c r="U19" s="693" t="s">
        <v>637</v>
      </c>
      <c r="V19" s="693" t="s">
        <v>74</v>
      </c>
      <c r="W19" s="693" t="s">
        <v>204</v>
      </c>
      <c r="X19" s="693" t="s">
        <v>158</v>
      </c>
      <c r="Y19" s="693" t="s">
        <v>204</v>
      </c>
      <c r="Z19" s="706">
        <v>1</v>
      </c>
      <c r="AA19" s="693" t="str">
        <f t="shared" si="29"/>
        <v>Realizar informes de portafolio</v>
      </c>
      <c r="AB19" s="703">
        <f t="shared" si="29"/>
        <v>48960000</v>
      </c>
      <c r="AC19" s="700" t="s">
        <v>46</v>
      </c>
      <c r="AD19" s="698">
        <v>0.25</v>
      </c>
      <c r="AE19" s="693" t="str">
        <f t="shared" si="30"/>
        <v>Realizar informes de portafolio</v>
      </c>
      <c r="AF19" s="691">
        <f>AB19/4</f>
        <v>12240000</v>
      </c>
      <c r="AG19" s="493">
        <f>(61/61)*AD19</f>
        <v>0.25</v>
      </c>
      <c r="AH19" s="709">
        <v>10064000</v>
      </c>
      <c r="AI19" s="690">
        <f t="shared" si="31"/>
        <v>1</v>
      </c>
      <c r="AJ19" s="690">
        <f t="shared" si="32"/>
        <v>0.82222222222222219</v>
      </c>
      <c r="AK19" s="690">
        <f t="shared" si="33"/>
        <v>0.25</v>
      </c>
      <c r="AL19" s="690">
        <f t="shared" si="34"/>
        <v>0.20555555555555555</v>
      </c>
      <c r="AM19" s="495" t="s">
        <v>1340</v>
      </c>
      <c r="AN19" s="698">
        <v>0.25</v>
      </c>
      <c r="AO19" s="693" t="str">
        <f t="shared" si="35"/>
        <v>Realizar informes de portafolio</v>
      </c>
      <c r="AP19" s="691">
        <f>AB19/4</f>
        <v>12240000</v>
      </c>
      <c r="AQ19" s="514">
        <f>(60/60)*AN19</f>
        <v>0.25</v>
      </c>
      <c r="AR19" s="691">
        <v>12240000</v>
      </c>
      <c r="AS19" s="690">
        <f t="shared" si="36"/>
        <v>1</v>
      </c>
      <c r="AT19" s="690">
        <f t="shared" si="37"/>
        <v>1</v>
      </c>
      <c r="AU19" s="690">
        <f t="shared" si="38"/>
        <v>0.5</v>
      </c>
      <c r="AV19" s="690">
        <f t="shared" si="39"/>
        <v>0.45555555555555555</v>
      </c>
      <c r="AW19" s="516" t="s">
        <v>1693</v>
      </c>
      <c r="AX19" s="698">
        <v>0.25</v>
      </c>
      <c r="AY19" s="693" t="str">
        <f t="shared" si="40"/>
        <v>Realizar informes de portafolio</v>
      </c>
      <c r="AZ19" s="691">
        <f>AB19/4</f>
        <v>12240000</v>
      </c>
      <c r="BA19" s="69"/>
      <c r="BB19" s="69"/>
      <c r="BC19" s="690">
        <f t="shared" si="41"/>
        <v>0</v>
      </c>
      <c r="BD19" s="690">
        <f t="shared" si="42"/>
        <v>0</v>
      </c>
      <c r="BE19" s="690">
        <f t="shared" si="43"/>
        <v>0.5</v>
      </c>
      <c r="BF19" s="690">
        <f t="shared" si="44"/>
        <v>0.45555555555555555</v>
      </c>
      <c r="BG19" s="690"/>
      <c r="BH19" s="698">
        <v>0.25</v>
      </c>
      <c r="BI19" s="693" t="str">
        <f t="shared" si="45"/>
        <v>Realizar informes de portafolio</v>
      </c>
      <c r="BJ19" s="691">
        <f>AB19/4</f>
        <v>12240000</v>
      </c>
      <c r="BK19" s="134"/>
      <c r="BL19" s="134"/>
      <c r="BM19" s="698">
        <f t="shared" si="46"/>
        <v>0</v>
      </c>
      <c r="BN19" s="698">
        <f t="shared" si="47"/>
        <v>0</v>
      </c>
      <c r="BO19" s="698">
        <f t="shared" si="48"/>
        <v>0.5</v>
      </c>
      <c r="BP19" s="698">
        <f t="shared" si="49"/>
        <v>0.45555555555555555</v>
      </c>
      <c r="BQ19" s="698"/>
      <c r="BR19" s="85">
        <f t="shared" si="50"/>
        <v>1</v>
      </c>
      <c r="BS19" s="85">
        <f t="shared" si="51"/>
        <v>0.82222222222222219</v>
      </c>
      <c r="BT19" s="85">
        <f t="shared" si="52"/>
        <v>1</v>
      </c>
      <c r="BU19" s="85">
        <f t="shared" si="53"/>
        <v>1</v>
      </c>
      <c r="BV19" s="85">
        <f t="shared" si="54"/>
        <v>0</v>
      </c>
      <c r="BW19" s="85">
        <f t="shared" si="55"/>
        <v>0</v>
      </c>
      <c r="BX19" s="85">
        <f t="shared" si="56"/>
        <v>0</v>
      </c>
      <c r="BY19" s="829">
        <f t="shared" si="57"/>
        <v>0</v>
      </c>
      <c r="BZ19" s="136">
        <f t="shared" si="28"/>
        <v>0</v>
      </c>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row>
    <row r="20" spans="1:229" s="84" customFormat="1" ht="242.25" x14ac:dyDescent="0.2">
      <c r="A20" s="785">
        <v>11300</v>
      </c>
      <c r="B20" s="693" t="s">
        <v>2</v>
      </c>
      <c r="C20" s="693" t="s">
        <v>330</v>
      </c>
      <c r="D20" s="129" t="s">
        <v>1023</v>
      </c>
      <c r="E20" s="129" t="s">
        <v>1023</v>
      </c>
      <c r="F20" s="695" t="s">
        <v>62</v>
      </c>
      <c r="G20" s="693" t="s">
        <v>59</v>
      </c>
      <c r="H20" s="693" t="s">
        <v>204</v>
      </c>
      <c r="I20" s="693" t="s">
        <v>204</v>
      </c>
      <c r="J20" s="695" t="s">
        <v>913</v>
      </c>
      <c r="K20" s="693" t="s">
        <v>93</v>
      </c>
      <c r="L20" s="716" t="s">
        <v>52</v>
      </c>
      <c r="M20" s="695">
        <v>4</v>
      </c>
      <c r="N20" s="695" t="s">
        <v>1319</v>
      </c>
      <c r="O20" s="693" t="s">
        <v>457</v>
      </c>
      <c r="P20" s="691">
        <v>223720404</v>
      </c>
      <c r="Q20" s="706">
        <v>1</v>
      </c>
      <c r="R20" s="693" t="s">
        <v>18</v>
      </c>
      <c r="S20" s="693" t="s">
        <v>24</v>
      </c>
      <c r="T20" s="693" t="s">
        <v>204</v>
      </c>
      <c r="U20" s="693" t="s">
        <v>638</v>
      </c>
      <c r="V20" s="693" t="s">
        <v>1041</v>
      </c>
      <c r="W20" s="693" t="s">
        <v>1284</v>
      </c>
      <c r="X20" s="693" t="s">
        <v>456</v>
      </c>
      <c r="Y20" s="693" t="s">
        <v>40</v>
      </c>
      <c r="Z20" s="695">
        <v>4</v>
      </c>
      <c r="AA20" s="693" t="str">
        <f t="shared" si="29"/>
        <v>Reportar Estados Financieros</v>
      </c>
      <c r="AB20" s="703">
        <f t="shared" si="29"/>
        <v>223720404</v>
      </c>
      <c r="AC20" s="700" t="s">
        <v>46</v>
      </c>
      <c r="AD20" s="67">
        <v>1</v>
      </c>
      <c r="AE20" s="693" t="str">
        <f t="shared" si="30"/>
        <v>Reportar Estados Financieros</v>
      </c>
      <c r="AF20" s="691">
        <f>AB20/4</f>
        <v>55930101</v>
      </c>
      <c r="AG20" s="494">
        <v>1</v>
      </c>
      <c r="AH20" s="709">
        <v>43423744</v>
      </c>
      <c r="AI20" s="690">
        <f t="shared" si="31"/>
        <v>1</v>
      </c>
      <c r="AJ20" s="690">
        <f t="shared" si="32"/>
        <v>0.77639309108345789</v>
      </c>
      <c r="AK20" s="690">
        <f t="shared" si="33"/>
        <v>0.25</v>
      </c>
      <c r="AL20" s="690">
        <f t="shared" si="34"/>
        <v>0.19409827277086447</v>
      </c>
      <c r="AM20" s="495" t="s">
        <v>1613</v>
      </c>
      <c r="AN20" s="67">
        <v>1</v>
      </c>
      <c r="AO20" s="693" t="str">
        <f t="shared" si="35"/>
        <v>Reportar Estados Financieros</v>
      </c>
      <c r="AP20" s="691">
        <f>AB20/4</f>
        <v>55930101</v>
      </c>
      <c r="AQ20" s="716">
        <v>1</v>
      </c>
      <c r="AR20" s="691">
        <v>55930101</v>
      </c>
      <c r="AS20" s="690">
        <f t="shared" si="36"/>
        <v>1</v>
      </c>
      <c r="AT20" s="690">
        <f t="shared" si="37"/>
        <v>1</v>
      </c>
      <c r="AU20" s="690">
        <f t="shared" si="38"/>
        <v>0.5</v>
      </c>
      <c r="AV20" s="690">
        <f t="shared" si="39"/>
        <v>0.4440982727708645</v>
      </c>
      <c r="AW20" s="516" t="s">
        <v>1767</v>
      </c>
      <c r="AX20" s="67">
        <v>1</v>
      </c>
      <c r="AY20" s="693" t="str">
        <f t="shared" si="40"/>
        <v>Reportar Estados Financieros</v>
      </c>
      <c r="AZ20" s="691">
        <f>AB20/4</f>
        <v>55930101</v>
      </c>
      <c r="BA20" s="69"/>
      <c r="BB20" s="69"/>
      <c r="BC20" s="690">
        <f t="shared" si="41"/>
        <v>0</v>
      </c>
      <c r="BD20" s="690">
        <f t="shared" si="42"/>
        <v>0</v>
      </c>
      <c r="BE20" s="690">
        <f t="shared" si="43"/>
        <v>0.5</v>
      </c>
      <c r="BF20" s="690">
        <f t="shared" si="44"/>
        <v>0.4440982727708645</v>
      </c>
      <c r="BG20" s="690"/>
      <c r="BH20" s="67">
        <v>1</v>
      </c>
      <c r="BI20" s="693" t="str">
        <f t="shared" si="45"/>
        <v>Reportar Estados Financieros</v>
      </c>
      <c r="BJ20" s="691">
        <f>AB20/4</f>
        <v>55930101</v>
      </c>
      <c r="BK20" s="134"/>
      <c r="BL20" s="134"/>
      <c r="BM20" s="698">
        <f t="shared" si="46"/>
        <v>0</v>
      </c>
      <c r="BN20" s="698">
        <f t="shared" si="47"/>
        <v>0</v>
      </c>
      <c r="BO20" s="698">
        <f t="shared" si="48"/>
        <v>0.5</v>
      </c>
      <c r="BP20" s="698">
        <f t="shared" si="49"/>
        <v>0.4440982727708645</v>
      </c>
      <c r="BQ20" s="698"/>
      <c r="BR20" s="83">
        <f t="shared" si="50"/>
        <v>1</v>
      </c>
      <c r="BS20" s="83">
        <f t="shared" si="51"/>
        <v>0.77639309108345789</v>
      </c>
      <c r="BT20" s="83">
        <f t="shared" si="52"/>
        <v>1</v>
      </c>
      <c r="BU20" s="83">
        <f t="shared" si="53"/>
        <v>1</v>
      </c>
      <c r="BV20" s="83">
        <f t="shared" si="54"/>
        <v>0</v>
      </c>
      <c r="BW20" s="83">
        <f t="shared" si="55"/>
        <v>0</v>
      </c>
      <c r="BX20" s="83">
        <f t="shared" si="56"/>
        <v>0</v>
      </c>
      <c r="BY20" s="830">
        <f t="shared" si="57"/>
        <v>0</v>
      </c>
      <c r="BZ20" s="136">
        <f t="shared" si="28"/>
        <v>0</v>
      </c>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row>
    <row r="21" spans="1:229" ht="115.5" thickBot="1" x14ac:dyDescent="0.25">
      <c r="A21" s="831">
        <v>11900</v>
      </c>
      <c r="B21" s="798" t="s">
        <v>125</v>
      </c>
      <c r="C21" s="798" t="s">
        <v>330</v>
      </c>
      <c r="D21" s="832" t="s">
        <v>1023</v>
      </c>
      <c r="E21" s="832" t="s">
        <v>1023</v>
      </c>
      <c r="F21" s="833" t="s">
        <v>126</v>
      </c>
      <c r="G21" s="798" t="s">
        <v>60</v>
      </c>
      <c r="H21" s="798" t="s">
        <v>204</v>
      </c>
      <c r="I21" s="798" t="s">
        <v>204</v>
      </c>
      <c r="J21" s="833" t="s">
        <v>149</v>
      </c>
      <c r="K21" s="834" t="s">
        <v>1530</v>
      </c>
      <c r="L21" s="835" t="s">
        <v>493</v>
      </c>
      <c r="M21" s="836">
        <v>103000</v>
      </c>
      <c r="N21" s="833" t="s">
        <v>128</v>
      </c>
      <c r="O21" s="837" t="s">
        <v>347</v>
      </c>
      <c r="P21" s="838">
        <v>53164884</v>
      </c>
      <c r="Q21" s="797">
        <v>1</v>
      </c>
      <c r="R21" s="798" t="s">
        <v>17</v>
      </c>
      <c r="S21" s="798" t="s">
        <v>26</v>
      </c>
      <c r="T21" s="798" t="s">
        <v>634</v>
      </c>
      <c r="U21" s="798" t="s">
        <v>636</v>
      </c>
      <c r="V21" s="798" t="s">
        <v>1048</v>
      </c>
      <c r="W21" s="798" t="s">
        <v>1278</v>
      </c>
      <c r="X21" s="834" t="s">
        <v>1531</v>
      </c>
      <c r="Y21" s="798" t="s">
        <v>204</v>
      </c>
      <c r="Z21" s="836">
        <v>103000</v>
      </c>
      <c r="AA21" s="798" t="str">
        <f>+O21</f>
        <v>Adelantar las actuaciones administrativas y operativas del proceso de Cobro Coactivo, encaminadas a lograr el cobro efectivo de las acreencias por todo concepto a favor de la Administradora de los Recursos del Sistema General de Seguridad Social en Salud – ADRES.</v>
      </c>
      <c r="AB21" s="839">
        <f>+P21</f>
        <v>53164884</v>
      </c>
      <c r="AC21" s="837" t="s">
        <v>46</v>
      </c>
      <c r="AD21" s="840">
        <v>0</v>
      </c>
      <c r="AE21" s="798" t="str">
        <f t="shared" si="30"/>
        <v>Adelantar las actuaciones administrativas y operativas del proceso de Cobro Coactivo, encaminadas a lograr el cobro efectivo de las acreencias por todo concepto a favor de la Administradora de los Recursos del Sistema General de Seguridad Social en Salud – ADRES.</v>
      </c>
      <c r="AF21" s="838">
        <f>AB21/4</f>
        <v>13291221</v>
      </c>
      <c r="AG21" s="841"/>
      <c r="AH21" s="842">
        <v>9746895</v>
      </c>
      <c r="AI21" s="843" t="e">
        <f t="shared" si="31"/>
        <v>#DIV/0!</v>
      </c>
      <c r="AJ21" s="843">
        <f t="shared" si="32"/>
        <v>0.73333330323828039</v>
      </c>
      <c r="AK21" s="843">
        <f t="shared" si="33"/>
        <v>0</v>
      </c>
      <c r="AL21" s="843">
        <f t="shared" si="34"/>
        <v>0.1833333258095701</v>
      </c>
      <c r="AM21" s="844"/>
      <c r="AN21" s="840">
        <v>0</v>
      </c>
      <c r="AO21" s="798" t="str">
        <f t="shared" si="35"/>
        <v>Adelantar las actuaciones administrativas y operativas del proceso de Cobro Coactivo, encaminadas a lograr el cobro efectivo de las acreencias por todo concepto a favor de la Administradora de los Recursos del Sistema General de Seguridad Social en Salud – ADRES.</v>
      </c>
      <c r="AP21" s="838">
        <f>AB21/4</f>
        <v>13291221</v>
      </c>
      <c r="AQ21" s="845">
        <v>0</v>
      </c>
      <c r="AR21" s="846">
        <v>13291221</v>
      </c>
      <c r="AS21" s="843" t="e">
        <f t="shared" si="36"/>
        <v>#DIV/0!</v>
      </c>
      <c r="AT21" s="843">
        <f t="shared" si="37"/>
        <v>1</v>
      </c>
      <c r="AU21" s="843">
        <f t="shared" si="38"/>
        <v>0</v>
      </c>
      <c r="AV21" s="843">
        <f t="shared" si="39"/>
        <v>0.43333332580957007</v>
      </c>
      <c r="AW21" s="847" t="s">
        <v>1729</v>
      </c>
      <c r="AX21" s="840">
        <v>0</v>
      </c>
      <c r="AY21" s="798" t="str">
        <f t="shared" si="40"/>
        <v>Adelantar las actuaciones administrativas y operativas del proceso de Cobro Coactivo, encaminadas a lograr el cobro efectivo de las acreencias por todo concepto a favor de la Administradora de los Recursos del Sistema General de Seguridad Social en Salud – ADRES.</v>
      </c>
      <c r="AZ21" s="838">
        <f>AB21/4</f>
        <v>13291221</v>
      </c>
      <c r="BA21" s="848"/>
      <c r="BB21" s="848"/>
      <c r="BC21" s="843" t="e">
        <f t="shared" si="41"/>
        <v>#DIV/0!</v>
      </c>
      <c r="BD21" s="843">
        <f t="shared" si="42"/>
        <v>0</v>
      </c>
      <c r="BE21" s="843">
        <f t="shared" si="43"/>
        <v>0</v>
      </c>
      <c r="BF21" s="843">
        <f t="shared" si="44"/>
        <v>0.43333332580957007</v>
      </c>
      <c r="BG21" s="843"/>
      <c r="BH21" s="840">
        <v>103000</v>
      </c>
      <c r="BI21" s="798" t="str">
        <f t="shared" si="45"/>
        <v>Adelantar las actuaciones administrativas y operativas del proceso de Cobro Coactivo, encaminadas a lograr el cobro efectivo de las acreencias por todo concepto a favor de la Administradora de los Recursos del Sistema General de Seguridad Social en Salud – ADRES.</v>
      </c>
      <c r="BJ21" s="838">
        <f>AB21/4</f>
        <v>13291221</v>
      </c>
      <c r="BK21" s="849"/>
      <c r="BL21" s="849"/>
      <c r="BM21" s="850">
        <f t="shared" si="46"/>
        <v>0</v>
      </c>
      <c r="BN21" s="850">
        <f t="shared" si="47"/>
        <v>0</v>
      </c>
      <c r="BO21" s="850">
        <f t="shared" si="48"/>
        <v>0</v>
      </c>
      <c r="BP21" s="850">
        <f t="shared" si="49"/>
        <v>0.43333332580957007</v>
      </c>
      <c r="BQ21" s="850"/>
      <c r="BR21" s="851" t="str">
        <f t="shared" si="50"/>
        <v>No Prog ni Ejec</v>
      </c>
      <c r="BS21" s="851">
        <f t="shared" si="51"/>
        <v>0.73333330323828039</v>
      </c>
      <c r="BT21" s="851" t="str">
        <f t="shared" si="52"/>
        <v>No Prog ni Ejec</v>
      </c>
      <c r="BU21" s="851">
        <f t="shared" si="53"/>
        <v>1</v>
      </c>
      <c r="BV21" s="851" t="str">
        <f t="shared" si="54"/>
        <v>No Prog ni Ejec</v>
      </c>
      <c r="BW21" s="851">
        <f t="shared" si="55"/>
        <v>0</v>
      </c>
      <c r="BX21" s="851">
        <f t="shared" si="56"/>
        <v>0</v>
      </c>
      <c r="BY21" s="852">
        <f t="shared" si="57"/>
        <v>0</v>
      </c>
    </row>
    <row r="22" spans="1:229" x14ac:dyDescent="0.2">
      <c r="A22" s="81"/>
      <c r="B22" s="81"/>
      <c r="C22" s="81"/>
      <c r="D22" s="81"/>
      <c r="E22" s="81"/>
      <c r="F22" s="81"/>
      <c r="G22" s="81"/>
      <c r="H22" s="81"/>
      <c r="I22" s="81"/>
      <c r="J22" s="81"/>
      <c r="K22" s="81"/>
      <c r="L22" s="151"/>
      <c r="M22" s="81"/>
      <c r="N22" s="81"/>
      <c r="O22" s="81"/>
      <c r="P22" s="152"/>
      <c r="Q22" s="81"/>
      <c r="R22" s="81"/>
      <c r="S22" s="81"/>
      <c r="T22" s="81"/>
      <c r="U22" s="81"/>
      <c r="V22" s="81"/>
      <c r="W22" s="81"/>
      <c r="X22" s="81"/>
      <c r="Y22" s="81"/>
      <c r="Z22" s="81"/>
      <c r="AA22" s="81"/>
      <c r="AB22" s="81"/>
      <c r="AC22" s="81"/>
      <c r="AO22" s="153"/>
    </row>
    <row r="23" spans="1:229" x14ac:dyDescent="0.2">
      <c r="A23" s="81"/>
      <c r="B23" s="81"/>
      <c r="C23" s="81"/>
      <c r="D23" s="81"/>
      <c r="E23" s="81"/>
      <c r="F23" s="81"/>
      <c r="G23" s="81"/>
      <c r="H23" s="81"/>
      <c r="I23" s="81"/>
      <c r="J23" s="81"/>
      <c r="K23" s="81"/>
      <c r="L23" s="151"/>
      <c r="M23" s="81"/>
      <c r="N23" s="81"/>
      <c r="O23" s="81"/>
      <c r="P23" s="152"/>
      <c r="Q23" s="81"/>
      <c r="R23" s="81"/>
      <c r="S23" s="81"/>
      <c r="T23" s="81"/>
      <c r="U23" s="81"/>
      <c r="V23" s="81"/>
      <c r="W23" s="81"/>
      <c r="X23" s="81"/>
      <c r="Y23" s="81"/>
      <c r="Z23" s="81"/>
      <c r="AA23" s="81"/>
      <c r="AB23" s="81"/>
      <c r="AC23" s="81"/>
      <c r="AO23" s="153"/>
    </row>
    <row r="24" spans="1:229" ht="33" customHeight="1" x14ac:dyDescent="0.2">
      <c r="A24" s="1031" t="s">
        <v>1611</v>
      </c>
      <c r="B24" s="1031"/>
      <c r="C24" s="1031"/>
      <c r="D24" s="1031"/>
      <c r="E24" s="1031"/>
      <c r="F24" s="1031"/>
      <c r="G24" s="1031"/>
      <c r="H24" s="1031"/>
      <c r="I24" s="1031"/>
      <c r="J24" s="1031"/>
      <c r="K24" s="1031"/>
      <c r="L24" s="1031"/>
      <c r="M24" s="1031"/>
      <c r="N24" s="154"/>
      <c r="P24" s="155"/>
      <c r="BR24" s="1079" t="s">
        <v>179</v>
      </c>
      <c r="BS24" s="1080"/>
      <c r="BT24" s="1080"/>
      <c r="BU24" s="1080"/>
      <c r="BV24" s="1080"/>
      <c r="BW24" s="1081"/>
    </row>
    <row r="25" spans="1:229" x14ac:dyDescent="0.2">
      <c r="A25" s="81"/>
      <c r="B25" s="81"/>
      <c r="C25" s="81"/>
      <c r="D25" s="81"/>
      <c r="E25" s="81"/>
      <c r="F25" s="81"/>
      <c r="G25" s="81"/>
      <c r="H25" s="81"/>
      <c r="I25" s="81"/>
      <c r="J25" s="81"/>
      <c r="K25" s="81"/>
      <c r="L25" s="151"/>
      <c r="P25" s="143"/>
      <c r="BR25" s="1070" t="s">
        <v>180</v>
      </c>
      <c r="BS25" s="1071"/>
      <c r="BT25" s="1063" t="s">
        <v>181</v>
      </c>
      <c r="BU25" s="1064"/>
      <c r="BV25" s="1064"/>
      <c r="BW25" s="1065"/>
    </row>
    <row r="26" spans="1:229" ht="15" x14ac:dyDescent="0.25">
      <c r="A26" s="618"/>
      <c r="B26" s="22" t="s">
        <v>1509</v>
      </c>
      <c r="C26" s="81"/>
      <c r="D26" s="81"/>
      <c r="E26" s="81"/>
      <c r="F26" s="81"/>
      <c r="G26" s="81"/>
      <c r="H26" s="81"/>
      <c r="I26" s="81"/>
      <c r="J26" s="81"/>
      <c r="K26" s="81"/>
      <c r="L26" s="151"/>
      <c r="P26" s="156"/>
      <c r="BR26" s="1072" t="s">
        <v>196</v>
      </c>
      <c r="BS26" s="1073"/>
      <c r="BT26" s="1063" t="s">
        <v>198</v>
      </c>
      <c r="BU26" s="1064"/>
      <c r="BV26" s="1064"/>
      <c r="BW26" s="1065"/>
    </row>
    <row r="27" spans="1:229" x14ac:dyDescent="0.2">
      <c r="A27" s="81"/>
      <c r="B27" s="81"/>
      <c r="C27" s="81"/>
      <c r="D27" s="81"/>
      <c r="E27" s="81"/>
      <c r="F27" s="81"/>
      <c r="G27" s="81"/>
      <c r="H27" s="81"/>
      <c r="I27" s="81"/>
      <c r="J27" s="81"/>
      <c r="K27" s="81"/>
      <c r="L27" s="151"/>
      <c r="BR27" s="1074" t="s">
        <v>197</v>
      </c>
      <c r="BS27" s="1075"/>
      <c r="BT27" s="1063" t="s">
        <v>182</v>
      </c>
      <c r="BU27" s="1064"/>
      <c r="BV27" s="1064"/>
      <c r="BW27" s="1065"/>
    </row>
    <row r="28" spans="1:229" x14ac:dyDescent="0.2">
      <c r="A28" s="81"/>
      <c r="B28" s="81"/>
      <c r="C28" s="81"/>
      <c r="D28" s="81"/>
      <c r="E28" s="81"/>
      <c r="F28" s="81"/>
      <c r="G28" s="81"/>
      <c r="H28" s="81"/>
      <c r="I28" s="81"/>
      <c r="J28" s="81"/>
      <c r="K28" s="81"/>
      <c r="L28" s="151"/>
      <c r="P28" s="143"/>
      <c r="BR28" s="1061" t="s">
        <v>194</v>
      </c>
      <c r="BS28" s="1062"/>
      <c r="BT28" s="1063" t="s">
        <v>183</v>
      </c>
      <c r="BU28" s="1064"/>
      <c r="BV28" s="1064"/>
      <c r="BW28" s="1065"/>
    </row>
    <row r="29" spans="1:229" x14ac:dyDescent="0.2">
      <c r="A29" s="81"/>
      <c r="B29" s="81"/>
      <c r="C29" s="81"/>
      <c r="D29" s="81"/>
      <c r="E29" s="81"/>
      <c r="F29" s="81"/>
      <c r="G29" s="81"/>
      <c r="H29" s="81"/>
      <c r="I29" s="81"/>
      <c r="J29" s="81"/>
      <c r="K29" s="81"/>
      <c r="L29" s="151"/>
      <c r="BR29" s="1066" t="s">
        <v>241</v>
      </c>
      <c r="BS29" s="1067"/>
      <c r="BT29" s="1063" t="s">
        <v>184</v>
      </c>
      <c r="BU29" s="1064"/>
      <c r="BV29" s="1064"/>
      <c r="BW29" s="1065"/>
    </row>
    <row r="30" spans="1:229" x14ac:dyDescent="0.2">
      <c r="A30" s="81"/>
      <c r="B30" s="81"/>
      <c r="C30" s="81"/>
      <c r="D30" s="81"/>
      <c r="E30" s="81"/>
      <c r="F30" s="81"/>
      <c r="G30" s="81"/>
      <c r="H30" s="81"/>
      <c r="I30" s="81"/>
      <c r="J30" s="81"/>
      <c r="K30" s="81"/>
      <c r="L30" s="151"/>
      <c r="BR30" s="1068" t="s">
        <v>185</v>
      </c>
      <c r="BS30" s="1068"/>
      <c r="BT30" s="1069" t="s">
        <v>186</v>
      </c>
      <c r="BU30" s="1069"/>
      <c r="BV30" s="1069"/>
      <c r="BW30" s="1069"/>
    </row>
    <row r="31" spans="1:229" x14ac:dyDescent="0.2">
      <c r="A31" s="81"/>
      <c r="B31" s="81"/>
      <c r="C31" s="81"/>
      <c r="D31" s="81"/>
      <c r="E31" s="81"/>
      <c r="F31" s="81"/>
      <c r="G31" s="81"/>
      <c r="H31" s="81"/>
      <c r="I31" s="81"/>
      <c r="J31" s="81"/>
      <c r="K31" s="81"/>
      <c r="L31" s="151"/>
    </row>
    <row r="32" spans="1:229" x14ac:dyDescent="0.2">
      <c r="A32" s="81"/>
      <c r="B32" s="81"/>
      <c r="C32" s="81"/>
      <c r="D32" s="81"/>
      <c r="E32" s="81"/>
      <c r="F32" s="81"/>
      <c r="G32" s="81"/>
      <c r="H32" s="81"/>
      <c r="I32" s="81"/>
      <c r="J32" s="81"/>
      <c r="K32" s="81"/>
      <c r="L32" s="151"/>
    </row>
    <row r="33" spans="1:12" x14ac:dyDescent="0.2">
      <c r="A33" s="81"/>
      <c r="B33" s="81"/>
      <c r="C33" s="81"/>
      <c r="D33" s="81"/>
      <c r="E33" s="81"/>
      <c r="F33" s="81"/>
      <c r="G33" s="81"/>
      <c r="H33" s="81"/>
      <c r="I33" s="81"/>
      <c r="J33" s="81"/>
      <c r="K33" s="81"/>
      <c r="L33" s="151"/>
    </row>
    <row r="34" spans="1:12" x14ac:dyDescent="0.2">
      <c r="A34" s="81"/>
      <c r="B34" s="81"/>
      <c r="C34" s="81"/>
      <c r="D34" s="81"/>
      <c r="E34" s="81"/>
      <c r="F34" s="81"/>
      <c r="G34" s="81"/>
      <c r="H34" s="81"/>
      <c r="I34" s="81"/>
      <c r="J34" s="81"/>
      <c r="K34" s="81"/>
      <c r="L34" s="151"/>
    </row>
    <row r="35" spans="1:12" x14ac:dyDescent="0.2">
      <c r="A35" s="81"/>
      <c r="B35" s="81"/>
      <c r="C35" s="81"/>
      <c r="D35" s="81"/>
      <c r="E35" s="81"/>
      <c r="F35" s="81"/>
      <c r="G35" s="81"/>
      <c r="H35" s="81"/>
      <c r="I35" s="81"/>
      <c r="J35" s="81"/>
      <c r="K35" s="81"/>
      <c r="L35" s="151"/>
    </row>
    <row r="36" spans="1:12" x14ac:dyDescent="0.2">
      <c r="A36" s="81"/>
      <c r="B36" s="81"/>
      <c r="C36" s="81"/>
      <c r="D36" s="81"/>
      <c r="E36" s="81"/>
      <c r="F36" s="81"/>
      <c r="G36" s="81"/>
      <c r="H36" s="81"/>
      <c r="I36" s="81"/>
      <c r="J36" s="81"/>
      <c r="K36" s="81"/>
      <c r="L36" s="151"/>
    </row>
    <row r="37" spans="1:12" x14ac:dyDescent="0.2">
      <c r="A37" s="81"/>
      <c r="B37" s="81"/>
      <c r="C37" s="81"/>
      <c r="D37" s="81"/>
      <c r="E37" s="81"/>
      <c r="F37" s="81"/>
      <c r="G37" s="81"/>
      <c r="H37" s="81"/>
      <c r="I37" s="81"/>
      <c r="J37" s="81"/>
      <c r="K37" s="81"/>
      <c r="L37" s="151"/>
    </row>
    <row r="38" spans="1:12" x14ac:dyDescent="0.2">
      <c r="A38" s="81"/>
      <c r="B38" s="81"/>
      <c r="C38" s="81"/>
      <c r="D38" s="81"/>
      <c r="E38" s="81"/>
      <c r="F38" s="81"/>
      <c r="G38" s="81"/>
      <c r="H38" s="81"/>
      <c r="I38" s="81"/>
      <c r="J38" s="81"/>
      <c r="K38" s="81"/>
      <c r="L38" s="151"/>
    </row>
  </sheetData>
  <sheetProtection algorithmName="SHA-512" hashValue="UlTuA4VDFQiVpENhEaYVDCeMXemBtNF/Uo6pZLLVQj4rtJZW54/9K4QXELZMHeGIw6wbk0NLbMEXBF255hFXhg==" saltValue="McuKcfMjz0GgB32ILJtijQ==" spinCount="100000" sheet="1" objects="1" scenarios="1"/>
  <autoFilter ref="A8:HU21" xr:uid="{951C54C2-BCAE-4986-9B9E-0A53A8A66372}"/>
  <mergeCells count="111">
    <mergeCell ref="A24:M24"/>
    <mergeCell ref="W14:W15"/>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T10:AT12"/>
    <mergeCell ref="BR24:BW24"/>
    <mergeCell ref="AR10:AR12"/>
    <mergeCell ref="BR28:BS28"/>
    <mergeCell ref="BT28:BW28"/>
    <mergeCell ref="BR29:BS29"/>
    <mergeCell ref="BT29:BW29"/>
    <mergeCell ref="BR30:BS30"/>
    <mergeCell ref="BT30:BW30"/>
    <mergeCell ref="BR25:BS25"/>
    <mergeCell ref="BT25:BW25"/>
    <mergeCell ref="BR26:BS26"/>
    <mergeCell ref="BT26:BW26"/>
    <mergeCell ref="BR27:BS27"/>
    <mergeCell ref="BT27:BW27"/>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T7:T8"/>
    <mergeCell ref="A1:B3"/>
    <mergeCell ref="C1:J1"/>
    <mergeCell ref="K1:BU1"/>
    <mergeCell ref="BV1:BY3"/>
    <mergeCell ref="C2:J2"/>
    <mergeCell ref="K2:K3"/>
    <mergeCell ref="L2:BS3"/>
    <mergeCell ref="BT2:BT3"/>
    <mergeCell ref="BU2:BU3"/>
    <mergeCell ref="C3:J3"/>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AB7:AB8"/>
    <mergeCell ref="AC7:AC8"/>
    <mergeCell ref="V7:V8"/>
    <mergeCell ref="X7:X8"/>
    <mergeCell ref="Y7:Y8"/>
    <mergeCell ref="Z7:Z8"/>
    <mergeCell ref="AA7:AA8"/>
    <mergeCell ref="W7:W8"/>
    <mergeCell ref="U10:U12"/>
    <mergeCell ref="D7:E7"/>
    <mergeCell ref="A7:A8"/>
    <mergeCell ref="B7:B8"/>
    <mergeCell ref="C7:C8"/>
    <mergeCell ref="F7:F8"/>
    <mergeCell ref="G7:G8"/>
    <mergeCell ref="H7:H8"/>
    <mergeCell ref="I7:I8"/>
    <mergeCell ref="J7:J8"/>
    <mergeCell ref="U7:U8"/>
    <mergeCell ref="S7:S8"/>
  </mergeCells>
  <conditionalFormatting sqref="BR9:BY10 BR13:BY20 BR11:BR12 BT11:BT12 BV11:BV12 BX11:BX12">
    <cfRule type="cellIs" dxfId="12945" priority="49" operator="equal">
      <formula>#REF!</formula>
    </cfRule>
    <cfRule type="cellIs" dxfId="12944" priority="50" operator="greaterThan">
      <formula>1</formula>
    </cfRule>
    <cfRule type="cellIs" dxfId="12943" priority="51" operator="equal">
      <formula>100%</formula>
    </cfRule>
    <cfRule type="cellIs" dxfId="12942" priority="52" operator="between">
      <formula>80%</formula>
      <formula>99%</formula>
    </cfRule>
    <cfRule type="cellIs" dxfId="12941" priority="53" operator="between">
      <formula>0%</formula>
      <formula>79%</formula>
    </cfRule>
  </conditionalFormatting>
  <conditionalFormatting sqref="BR21:BY21">
    <cfRule type="cellIs" dxfId="12940" priority="1" operator="equal">
      <formula>#REF!</formula>
    </cfRule>
    <cfRule type="cellIs" dxfId="12939" priority="2" operator="greaterThan">
      <formula>1</formula>
    </cfRule>
    <cfRule type="cellIs" dxfId="12938" priority="3" operator="equal">
      <formula>100%</formula>
    </cfRule>
    <cfRule type="cellIs" dxfId="12937" priority="4" operator="between">
      <formula>80%</formula>
      <formula>99%</formula>
    </cfRule>
    <cfRule type="cellIs" dxfId="12936" priority="5"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 xmlns:xm="http://schemas.microsoft.com/office/excel/2006/main">
          <x14:cfRule type="containsText" priority="6" operator="containsText" id="{9FE7BD00-A49A-42DF-AA64-BDD2B7210D34}">
            <xm:f>NOT(ISERROR(SEARCH(#REF!,BR21)))</xm:f>
            <xm:f>#REF!</xm:f>
            <x14:dxf>
              <font>
                <color theme="4"/>
              </font>
              <fill>
                <patternFill>
                  <bgColor theme="5" tint="0.59996337778862885"/>
                </patternFill>
              </fill>
            </x14:dxf>
          </x14:cfRule>
          <xm:sqref>BR21:BY21</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00000000}">
          <x14:formula1>
            <xm:f>'TAB. REF. PA'!$X$4:$X$9</xm:f>
          </x14:formula1>
          <xm:sqref>H17:H19 H12:H13 I9:I21</xm:sqref>
        </x14:dataValidation>
        <x14:dataValidation type="list" allowBlank="1" showInputMessage="1" showErrorMessage="1" xr:uid="{00000000-0002-0000-0300-000004000000}">
          <x14:formula1>
            <xm:f>'TAB. REF. PA'!$J$4:$J$6</xm:f>
          </x14:formula1>
          <xm:sqref>T9:T10 T13:T14 T16:T21</xm:sqref>
        </x14:dataValidation>
        <x14:dataValidation type="list" allowBlank="1" showInputMessage="1" showErrorMessage="1" xr:uid="{00000000-0002-0000-0300-000005000000}">
          <x14:formula1>
            <xm:f>'TAB. REF. PA'!$H$4:$H$21</xm:f>
          </x14:formula1>
          <xm:sqref>S9:S10 S13:S14 S16:S21</xm:sqref>
        </x14:dataValidation>
        <x14:dataValidation type="list" allowBlank="1" showInputMessage="1" showErrorMessage="1" xr:uid="{00000000-0002-0000-0300-000006000000}">
          <x14:formula1>
            <xm:f>'TAB. REF. PA'!$F$4:$F$10</xm:f>
          </x14:formula1>
          <xm:sqref>R9:R10 R13:R14 R16:R21</xm:sqref>
        </x14:dataValidation>
        <x14:dataValidation type="list" allowBlank="1" showInputMessage="1" showErrorMessage="1" xr:uid="{00000000-0002-0000-0300-000007000000}">
          <x14:formula1>
            <xm:f>'TAB. REF. PA'!$D$4:$D$9</xm:f>
          </x14:formula1>
          <xm:sqref>G9:G21</xm:sqref>
        </x14:dataValidation>
        <x14:dataValidation type="list" allowBlank="1" showInputMessage="1" showErrorMessage="1" xr:uid="{00000000-0002-0000-0300-000008000000}">
          <x14:formula1>
            <xm:f>'TAB. REF. PA'!$W$3:$W$7</xm:f>
          </x14:formula1>
          <xm:sqref>AC9:AC21</xm:sqref>
        </x14:dataValidation>
        <x14:dataValidation type="list" allowBlank="1" showInputMessage="1" showErrorMessage="1" xr:uid="{00000000-0002-0000-0300-000009000000}">
          <x14:formula1>
            <xm:f>'TAB. REF. PA'!$Y$4:$Y$14</xm:f>
          </x14:formula1>
          <xm:sqref>A9:A21</xm:sqref>
        </x14:dataValidation>
        <x14:dataValidation type="list" allowBlank="1" showInputMessage="1" showErrorMessage="1" xr:uid="{00000000-0002-0000-0300-00000A000000}">
          <x14:formula1>
            <xm:f>'TAB. REF. PA'!$R$4:$R$12</xm:f>
          </x14:formula1>
          <xm:sqref>C9:C21</xm:sqref>
        </x14:dataValidation>
        <x14:dataValidation type="list" allowBlank="1" showInputMessage="1" showErrorMessage="1" xr:uid="{00000000-0002-0000-0300-00000B000000}">
          <x14:formula1>
            <xm:f>'TAB. REF. PA'!$B$4:$B$14</xm:f>
          </x14:formula1>
          <xm:sqref>B9:B21</xm:sqref>
        </x14:dataValidation>
        <x14:dataValidation type="list" allowBlank="1" showInputMessage="1" showErrorMessage="1" xr:uid="{00000000-0002-0000-0300-000003000000}">
          <x14:formula1>
            <xm:f>'TAB. REF. PA'!$L$4:$L$11</xm:f>
          </x14:formula1>
          <xm:sqref>U9:U10 U13:U14 U16:U21</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 V21</xm:sqref>
        </x14:dataValidation>
        <x14:dataValidation type="list" allowBlank="1" showInputMessage="1" showErrorMessage="1" xr:uid="{C28D3A0C-7956-4A84-943D-EEECF69FE110}">
          <x14:formula1>
            <xm:f>'TAB. REF. PA'!$U$4:$U$25</xm:f>
          </x14:formula1>
          <xm:sqref>Y9:Y10 Y13:Y14 Y16:Y21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filterMode="1"/>
  <dimension ref="A1:DC194"/>
  <sheetViews>
    <sheetView showGridLines="0" zoomScale="60" zoomScaleNormal="60" workbookViewId="0">
      <pane ySplit="8" topLeftCell="A22" activePane="bottomLeft" state="frozen"/>
      <selection activeCell="I2" sqref="A2:L4"/>
      <selection pane="bottomLeft" activeCell="V22" sqref="V22"/>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9.140625" customWidth="1"/>
    <col min="20" max="20" width="37.5703125" customWidth="1"/>
    <col min="21" max="21" width="18.5703125" customWidth="1"/>
    <col min="22" max="22" width="40.5703125" customWidth="1"/>
    <col min="23" max="23" width="15.7109375" customWidth="1"/>
    <col min="24" max="24" width="33" customWidth="1"/>
    <col min="25" max="25" width="14.140625" style="4" customWidth="1"/>
    <col min="26" max="26" width="13.5703125" customWidth="1"/>
    <col min="27" max="27" width="14.5703125" customWidth="1"/>
    <col min="28" max="28" width="35.42578125" customWidth="1"/>
    <col min="29" max="29" width="26.7109375" customWidth="1"/>
    <col min="30" max="30" width="17.28515625" customWidth="1"/>
    <col min="31" max="31" width="21.42578125" customWidth="1"/>
    <col min="32" max="32" width="23.7109375" customWidth="1"/>
    <col min="33" max="33" width="25.7109375" customWidth="1"/>
    <col min="34" max="34" width="35" customWidth="1"/>
    <col min="35" max="35" width="19.140625" customWidth="1"/>
    <col min="36" max="36" width="33.7109375" customWidth="1"/>
    <col min="37" max="37" width="31" customWidth="1"/>
    <col min="38" max="38" width="28.28515625" customWidth="1"/>
    <col min="39" max="39" width="14.140625" customWidth="1"/>
    <col min="40" max="40" width="35.7109375" customWidth="1"/>
    <col min="41" max="41" width="27.7109375" customWidth="1"/>
    <col min="42" max="42" width="21.140625" customWidth="1"/>
    <col min="43" max="43" width="13.85546875" style="6" hidden="1" customWidth="1"/>
    <col min="44" max="44" width="35.7109375" style="6" hidden="1" customWidth="1"/>
    <col min="45" max="45" width="27.7109375" style="6" hidden="1" customWidth="1"/>
    <col min="46" max="46" width="13.5703125" style="6" hidden="1" customWidth="1"/>
    <col min="47" max="47" width="27.7109375" style="6" hidden="1" customWidth="1"/>
    <col min="48" max="48" width="11.42578125" style="6" hidden="1" customWidth="1"/>
    <col min="49" max="49" width="15.7109375" style="6" hidden="1" customWidth="1"/>
    <col min="50" max="50" width="11.42578125" style="6" hidden="1" customWidth="1"/>
    <col min="51" max="51" width="15.7109375" style="6" hidden="1" customWidth="1"/>
    <col min="52" max="52" width="50.7109375" style="6" hidden="1" customWidth="1"/>
    <col min="53" max="53" width="13.7109375" style="6" customWidth="1"/>
    <col min="54" max="54" width="35.7109375" style="6" customWidth="1"/>
    <col min="55" max="55" width="27.7109375" style="6" customWidth="1"/>
    <col min="56" max="56" width="17.140625" style="6" customWidth="1"/>
    <col min="57" max="57" width="27.7109375" style="6" customWidth="1"/>
    <col min="58" max="58" width="13.7109375" style="6" customWidth="1"/>
    <col min="59" max="59" width="15.7109375" style="6" customWidth="1"/>
    <col min="60" max="60" width="13.7109375" style="6" customWidth="1"/>
    <col min="61" max="61" width="15.7109375" style="6" customWidth="1"/>
    <col min="62" max="62" width="50.7109375" style="6" customWidth="1"/>
    <col min="63" max="63" width="13.7109375" style="6" customWidth="1"/>
    <col min="64" max="64" width="35.7109375" style="6" customWidth="1"/>
    <col min="65" max="65" width="27.7109375" style="6" customWidth="1"/>
    <col min="66" max="66" width="18" style="6" customWidth="1"/>
    <col min="67" max="67" width="27.7109375" style="6" customWidth="1"/>
    <col min="68" max="68" width="13.7109375" style="6" customWidth="1"/>
    <col min="69" max="69" width="15.7109375" style="6" customWidth="1"/>
    <col min="70" max="70" width="13.7109375" style="6" customWidth="1"/>
    <col min="71" max="71" width="15.7109375" style="6" customWidth="1"/>
    <col min="72" max="72" width="50.7109375" style="6" customWidth="1"/>
    <col min="73" max="73" width="13.7109375" style="6" customWidth="1"/>
    <col min="74" max="74" width="35.7109375" style="6" customWidth="1"/>
    <col min="75" max="75" width="27.7109375" style="6" customWidth="1"/>
    <col min="76" max="76" width="13.7109375" style="6" customWidth="1"/>
    <col min="77" max="77" width="27.7109375" style="6" customWidth="1"/>
    <col min="78" max="78" width="13.7109375" style="6" customWidth="1"/>
    <col min="79" max="79" width="15.7109375" style="6" customWidth="1"/>
    <col min="80" max="80" width="13.7109375" style="6" customWidth="1"/>
    <col min="81" max="81" width="15.7109375" style="6" customWidth="1"/>
    <col min="82" max="82" width="50.7109375" style="6"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976">
        <v>0</v>
      </c>
      <c r="B1" s="977"/>
      <c r="C1" s="982" t="s">
        <v>246</v>
      </c>
      <c r="D1" s="983"/>
      <c r="E1" s="983"/>
      <c r="F1" s="983"/>
      <c r="G1" s="983"/>
      <c r="H1" s="983"/>
      <c r="I1" s="983"/>
      <c r="J1" s="983"/>
      <c r="K1" s="983"/>
      <c r="L1" s="983"/>
      <c r="M1" s="983"/>
      <c r="N1" s="983"/>
      <c r="O1" s="983"/>
      <c r="P1" s="983"/>
      <c r="Q1" s="983"/>
      <c r="R1" s="983"/>
      <c r="S1" s="983"/>
      <c r="T1" s="983"/>
      <c r="U1" s="983"/>
      <c r="V1" s="983"/>
      <c r="W1" s="984"/>
      <c r="X1" s="985" t="s">
        <v>247</v>
      </c>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5"/>
      <c r="BV1" s="985"/>
      <c r="BW1" s="985"/>
      <c r="BX1" s="985"/>
      <c r="BY1" s="985"/>
      <c r="BZ1" s="985"/>
      <c r="CA1" s="985"/>
      <c r="CB1" s="985"/>
      <c r="CC1" s="985"/>
      <c r="CD1" s="985"/>
      <c r="CE1" s="985"/>
      <c r="CF1" s="985"/>
      <c r="CG1" s="985"/>
      <c r="CH1" s="986"/>
      <c r="CI1" s="1102"/>
      <c r="CJ1" s="1103"/>
      <c r="CK1" s="1103"/>
      <c r="CL1" s="1103"/>
    </row>
    <row r="2" spans="1:107" ht="24" customHeight="1" x14ac:dyDescent="0.25">
      <c r="A2" s="978"/>
      <c r="B2" s="979"/>
      <c r="C2" s="1003" t="s">
        <v>248</v>
      </c>
      <c r="D2" s="1004"/>
      <c r="E2" s="1004"/>
      <c r="F2" s="1004"/>
      <c r="G2" s="1004"/>
      <c r="H2" s="1004"/>
      <c r="I2" s="1004"/>
      <c r="J2" s="1004"/>
      <c r="K2" s="1004"/>
      <c r="L2" s="1004"/>
      <c r="M2" s="1004"/>
      <c r="N2" s="1004"/>
      <c r="O2" s="1004"/>
      <c r="P2" s="1004"/>
      <c r="Q2" s="1004"/>
      <c r="R2" s="1004"/>
      <c r="S2" s="1004"/>
      <c r="T2" s="1004"/>
      <c r="U2" s="1004"/>
      <c r="V2" s="1004"/>
      <c r="W2" s="1005"/>
      <c r="X2" s="1006" t="s">
        <v>254</v>
      </c>
      <c r="Y2" s="1008" t="s">
        <v>250</v>
      </c>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c r="BU2" s="1008"/>
      <c r="BV2" s="1008"/>
      <c r="BW2" s="1008"/>
      <c r="BX2" s="1008"/>
      <c r="BY2" s="1008"/>
      <c r="BZ2" s="1008"/>
      <c r="CA2" s="1008"/>
      <c r="CB2" s="1008"/>
      <c r="CC2" s="1008"/>
      <c r="CD2" s="1008"/>
      <c r="CE2" s="1008"/>
      <c r="CF2" s="1008"/>
      <c r="CG2" s="1008" t="s">
        <v>249</v>
      </c>
      <c r="CH2" s="1010">
        <v>2</v>
      </c>
      <c r="CI2" s="1104"/>
      <c r="CJ2" s="1105"/>
      <c r="CK2" s="1105"/>
      <c r="CL2" s="1105"/>
    </row>
    <row r="3" spans="1:107" ht="25.5" customHeight="1" thickBot="1" x14ac:dyDescent="0.3">
      <c r="A3" s="980"/>
      <c r="B3" s="981"/>
      <c r="C3" s="1012" t="s">
        <v>242</v>
      </c>
      <c r="D3" s="1013"/>
      <c r="E3" s="1013"/>
      <c r="F3" s="1013"/>
      <c r="G3" s="1013"/>
      <c r="H3" s="1013"/>
      <c r="I3" s="1013"/>
      <c r="J3" s="1013"/>
      <c r="K3" s="1013"/>
      <c r="L3" s="1013"/>
      <c r="M3" s="1013"/>
      <c r="N3" s="1013"/>
      <c r="O3" s="1013"/>
      <c r="P3" s="1013"/>
      <c r="Q3" s="1013"/>
      <c r="R3" s="1013"/>
      <c r="S3" s="1013"/>
      <c r="T3" s="1013"/>
      <c r="U3" s="1013"/>
      <c r="V3" s="1013"/>
      <c r="W3" s="1014"/>
      <c r="X3" s="1007"/>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11"/>
      <c r="CI3" s="1106"/>
      <c r="CJ3" s="1107"/>
      <c r="CK3" s="1107"/>
      <c r="CL3" s="1107"/>
      <c r="CR3" s="126" t="s">
        <v>336</v>
      </c>
      <c r="CS3" s="126" t="s">
        <v>1020</v>
      </c>
      <c r="CT3" s="126" t="s">
        <v>1019</v>
      </c>
      <c r="CU3" s="126" t="s">
        <v>1021</v>
      </c>
      <c r="CV3" s="126" t="s">
        <v>848</v>
      </c>
      <c r="CW3" s="126" t="s">
        <v>1002</v>
      </c>
      <c r="CX3" s="126" t="s">
        <v>1022</v>
      </c>
      <c r="CY3" s="126" t="s">
        <v>999</v>
      </c>
      <c r="CZ3" s="126" t="s">
        <v>331</v>
      </c>
      <c r="DA3" s="126" t="s">
        <v>994</v>
      </c>
      <c r="DB3" s="124" t="s">
        <v>997</v>
      </c>
      <c r="DC3" s="124" t="s">
        <v>996</v>
      </c>
    </row>
    <row r="4" spans="1:107" ht="15.75" x14ac:dyDescent="0.25">
      <c r="Q4" s="1091"/>
      <c r="R4" s="1091"/>
      <c r="T4" s="18"/>
      <c r="U4" s="27"/>
      <c r="V4" s="27"/>
      <c r="W4" s="18"/>
      <c r="X4" s="18"/>
      <c r="Y4" s="18"/>
      <c r="Z4" s="18"/>
      <c r="AA4" s="18"/>
      <c r="AB4" s="18"/>
      <c r="AC4" s="18"/>
      <c r="AD4" s="18"/>
      <c r="AE4" s="18"/>
    </row>
    <row r="5" spans="1:107" s="81" customFormat="1" ht="15.75" x14ac:dyDescent="0.25">
      <c r="A5" s="142" t="s">
        <v>346</v>
      </c>
      <c r="B5" s="22"/>
      <c r="C5" s="22"/>
      <c r="D5" s="22"/>
      <c r="E5" s="22"/>
      <c r="F5" s="22"/>
      <c r="G5" s="22"/>
      <c r="H5" s="22"/>
      <c r="I5" s="22"/>
      <c r="J5" s="22"/>
      <c r="K5" s="22"/>
      <c r="L5" s="22"/>
      <c r="M5" s="22"/>
      <c r="N5" s="22"/>
      <c r="O5" s="22"/>
      <c r="P5" s="22"/>
      <c r="Q5" s="1091"/>
      <c r="R5" s="1091"/>
      <c r="S5" s="22"/>
      <c r="T5" s="1091"/>
      <c r="U5" s="1091"/>
      <c r="V5" s="1091"/>
      <c r="W5" s="1091"/>
      <c r="X5" s="1091"/>
      <c r="Y5" s="1091"/>
      <c r="Z5" s="1091"/>
      <c r="AA5" s="1091"/>
      <c r="AB5" s="1091"/>
      <c r="AC5" s="1091"/>
      <c r="AD5" s="1091"/>
      <c r="AE5" s="1091"/>
      <c r="AF5" s="22"/>
      <c r="AG5" s="143"/>
      <c r="AH5" s="22"/>
      <c r="AI5" s="22"/>
      <c r="AJ5" s="22"/>
      <c r="AK5" s="22"/>
      <c r="AL5" s="22"/>
      <c r="AM5" s="477"/>
      <c r="AN5" s="22"/>
      <c r="AO5" s="22"/>
      <c r="AP5" s="22"/>
    </row>
    <row r="6" spans="1:107" s="81" customFormat="1" ht="16.5" thickBot="1" x14ac:dyDescent="0.3">
      <c r="A6" s="142"/>
      <c r="B6" s="22"/>
      <c r="C6" s="22"/>
      <c r="D6" s="22"/>
      <c r="E6" s="22"/>
      <c r="F6" s="22"/>
      <c r="G6" s="22"/>
      <c r="H6" s="22"/>
      <c r="I6" s="22"/>
      <c r="J6" s="22"/>
      <c r="K6" s="22"/>
      <c r="L6" s="22"/>
      <c r="M6" s="22"/>
      <c r="N6" s="22"/>
      <c r="O6" s="22"/>
      <c r="P6" s="22"/>
      <c r="Q6" s="22"/>
      <c r="R6" s="22"/>
      <c r="S6" s="22"/>
      <c r="T6" s="173"/>
      <c r="U6" s="173"/>
      <c r="V6" s="173"/>
      <c r="W6" s="173"/>
      <c r="X6" s="1091"/>
      <c r="Y6" s="1091"/>
      <c r="Z6" s="1091"/>
      <c r="AA6" s="1091"/>
      <c r="AB6" s="1091"/>
      <c r="AC6" s="1091"/>
      <c r="AD6" s="1091"/>
      <c r="AE6" s="1091"/>
      <c r="AF6" s="1091"/>
      <c r="AG6" s="1091"/>
      <c r="AH6" s="1091"/>
      <c r="AI6" s="1091"/>
      <c r="AJ6" s="475"/>
      <c r="AK6" s="22"/>
      <c r="AL6" s="22"/>
      <c r="AM6" s="22"/>
      <c r="AN6" s="22"/>
      <c r="AO6" s="22"/>
      <c r="AP6" s="22"/>
    </row>
    <row r="7" spans="1:107" s="81" customFormat="1" ht="24.75" customHeight="1" thickBot="1" x14ac:dyDescent="0.25">
      <c r="A7" s="1088" t="s">
        <v>30</v>
      </c>
      <c r="B7" s="1088" t="s">
        <v>31</v>
      </c>
      <c r="C7" s="1088" t="s">
        <v>255</v>
      </c>
      <c r="D7" s="1094" t="s">
        <v>255</v>
      </c>
      <c r="E7" s="1094"/>
      <c r="F7" s="1094"/>
      <c r="G7" s="1094"/>
      <c r="H7" s="1094"/>
      <c r="I7" s="1094"/>
      <c r="J7" s="1094"/>
      <c r="K7" s="1094"/>
      <c r="L7" s="1094"/>
      <c r="M7" s="1094"/>
      <c r="N7" s="1094"/>
      <c r="O7" s="1094"/>
      <c r="P7" s="1094"/>
      <c r="Q7" s="1088" t="s">
        <v>1132</v>
      </c>
      <c r="R7" s="1088" t="s">
        <v>1133</v>
      </c>
      <c r="S7" s="1088" t="s">
        <v>57</v>
      </c>
      <c r="T7" s="1088" t="s">
        <v>257</v>
      </c>
      <c r="U7" s="1088" t="s">
        <v>256</v>
      </c>
      <c r="V7" s="1088" t="s">
        <v>258</v>
      </c>
      <c r="W7" s="1088" t="s">
        <v>32</v>
      </c>
      <c r="X7" s="1088" t="s">
        <v>49</v>
      </c>
      <c r="Y7" s="1088" t="s">
        <v>35</v>
      </c>
      <c r="Z7" s="1088" t="s">
        <v>8</v>
      </c>
      <c r="AA7" s="1088" t="s">
        <v>33</v>
      </c>
      <c r="AB7" s="1088" t="s">
        <v>50</v>
      </c>
      <c r="AC7" s="1088" t="s">
        <v>151</v>
      </c>
      <c r="AD7" s="1088" t="s">
        <v>5</v>
      </c>
      <c r="AE7" s="1088" t="s">
        <v>37</v>
      </c>
      <c r="AF7" s="1088" t="s">
        <v>36</v>
      </c>
      <c r="AG7" s="1088" t="s">
        <v>38</v>
      </c>
      <c r="AH7" s="1088" t="s">
        <v>1064</v>
      </c>
      <c r="AI7" s="1088" t="s">
        <v>6</v>
      </c>
      <c r="AJ7" s="474" t="s">
        <v>1265</v>
      </c>
      <c r="AK7" s="1088" t="s">
        <v>0</v>
      </c>
      <c r="AL7" s="1088" t="s">
        <v>34</v>
      </c>
      <c r="AM7" s="1088" t="s">
        <v>8</v>
      </c>
      <c r="AN7" s="1088" t="s">
        <v>188</v>
      </c>
      <c r="AO7" s="1088" t="s">
        <v>151</v>
      </c>
      <c r="AP7" s="1088" t="s">
        <v>9</v>
      </c>
      <c r="AQ7" s="987" t="s">
        <v>190</v>
      </c>
      <c r="AR7" s="988"/>
      <c r="AS7" s="988"/>
      <c r="AT7" s="988"/>
      <c r="AU7" s="988"/>
      <c r="AV7" s="988"/>
      <c r="AW7" s="988"/>
      <c r="AX7" s="988"/>
      <c r="AY7" s="988"/>
      <c r="AZ7" s="989"/>
      <c r="BA7" s="990" t="s">
        <v>192</v>
      </c>
      <c r="BB7" s="991"/>
      <c r="BC7" s="991"/>
      <c r="BD7" s="991"/>
      <c r="BE7" s="991"/>
      <c r="BF7" s="991"/>
      <c r="BG7" s="991"/>
      <c r="BH7" s="991"/>
      <c r="BI7" s="991"/>
      <c r="BJ7" s="992"/>
      <c r="BK7" s="987" t="s">
        <v>191</v>
      </c>
      <c r="BL7" s="988"/>
      <c r="BM7" s="988"/>
      <c r="BN7" s="988"/>
      <c r="BO7" s="988"/>
      <c r="BP7" s="988"/>
      <c r="BQ7" s="988"/>
      <c r="BR7" s="988"/>
      <c r="BS7" s="988"/>
      <c r="BT7" s="989"/>
      <c r="BU7" s="990" t="s">
        <v>193</v>
      </c>
      <c r="BV7" s="991"/>
      <c r="BW7" s="991"/>
      <c r="BX7" s="991"/>
      <c r="BY7" s="991"/>
      <c r="BZ7" s="991"/>
      <c r="CA7" s="991"/>
      <c r="CB7" s="991"/>
      <c r="CC7" s="991"/>
      <c r="CD7" s="992"/>
      <c r="CE7" s="994" t="s">
        <v>1158</v>
      </c>
      <c r="CF7" s="995"/>
      <c r="CG7" s="995"/>
      <c r="CH7" s="995"/>
      <c r="CI7" s="995"/>
      <c r="CJ7" s="995"/>
      <c r="CK7" s="995"/>
      <c r="CL7" s="996"/>
    </row>
    <row r="8" spans="1:107" s="174" customFormat="1" ht="39.75" customHeight="1" x14ac:dyDescent="0.2">
      <c r="A8" s="1089"/>
      <c r="B8" s="1089"/>
      <c r="C8" s="1089"/>
      <c r="D8" s="862">
        <v>1</v>
      </c>
      <c r="E8" s="863">
        <v>2</v>
      </c>
      <c r="F8" s="863">
        <v>3</v>
      </c>
      <c r="G8" s="863">
        <v>4</v>
      </c>
      <c r="H8" s="863">
        <v>5</v>
      </c>
      <c r="I8" s="863">
        <v>6</v>
      </c>
      <c r="J8" s="863">
        <v>7</v>
      </c>
      <c r="K8" s="863">
        <v>8</v>
      </c>
      <c r="L8" s="863">
        <v>9</v>
      </c>
      <c r="M8" s="863">
        <v>10</v>
      </c>
      <c r="N8" s="863">
        <v>11</v>
      </c>
      <c r="O8" s="863">
        <v>12</v>
      </c>
      <c r="P8" s="864">
        <v>13</v>
      </c>
      <c r="Q8" s="1089"/>
      <c r="R8" s="1089"/>
      <c r="S8" s="1089"/>
      <c r="T8" s="1089"/>
      <c r="U8" s="1089"/>
      <c r="V8" s="1089"/>
      <c r="W8" s="1089"/>
      <c r="X8" s="1089"/>
      <c r="Y8" s="1089"/>
      <c r="Z8" s="1089"/>
      <c r="AA8" s="1089"/>
      <c r="AB8" s="1089"/>
      <c r="AC8" s="1089"/>
      <c r="AD8" s="1089"/>
      <c r="AE8" s="1089"/>
      <c r="AF8" s="1089"/>
      <c r="AG8" s="1089"/>
      <c r="AH8" s="1089"/>
      <c r="AI8" s="1089"/>
      <c r="AJ8" s="865"/>
      <c r="AK8" s="1089"/>
      <c r="AL8" s="1089"/>
      <c r="AM8" s="1089"/>
      <c r="AN8" s="1089"/>
      <c r="AO8" s="1089"/>
      <c r="AP8" s="1089"/>
      <c r="AQ8" s="149" t="s">
        <v>8</v>
      </c>
      <c r="AR8" s="149" t="s">
        <v>50</v>
      </c>
      <c r="AS8" s="149" t="s">
        <v>151</v>
      </c>
      <c r="AT8" s="149" t="s">
        <v>8</v>
      </c>
      <c r="AU8" s="149" t="s">
        <v>151</v>
      </c>
      <c r="AV8" s="149" t="s">
        <v>7</v>
      </c>
      <c r="AW8" s="149" t="s">
        <v>10</v>
      </c>
      <c r="AX8" s="149" t="s">
        <v>7</v>
      </c>
      <c r="AY8" s="149" t="s">
        <v>10</v>
      </c>
      <c r="AZ8" s="149" t="s">
        <v>189</v>
      </c>
      <c r="BA8" s="146" t="s">
        <v>8</v>
      </c>
      <c r="BB8" s="146" t="s">
        <v>50</v>
      </c>
      <c r="BC8" s="146" t="s">
        <v>151</v>
      </c>
      <c r="BD8" s="146" t="s">
        <v>8</v>
      </c>
      <c r="BE8" s="146" t="s">
        <v>151</v>
      </c>
      <c r="BF8" s="146" t="s">
        <v>7</v>
      </c>
      <c r="BG8" s="146" t="s">
        <v>10</v>
      </c>
      <c r="BH8" s="146" t="s">
        <v>7</v>
      </c>
      <c r="BI8" s="146" t="s">
        <v>10</v>
      </c>
      <c r="BJ8" s="146" t="s">
        <v>189</v>
      </c>
      <c r="BK8" s="149" t="s">
        <v>8</v>
      </c>
      <c r="BL8" s="149" t="s">
        <v>50</v>
      </c>
      <c r="BM8" s="149" t="s">
        <v>151</v>
      </c>
      <c r="BN8" s="149" t="s">
        <v>8</v>
      </c>
      <c r="BO8" s="149" t="s">
        <v>151</v>
      </c>
      <c r="BP8" s="149" t="s">
        <v>7</v>
      </c>
      <c r="BQ8" s="149" t="s">
        <v>10</v>
      </c>
      <c r="BR8" s="149" t="s">
        <v>7</v>
      </c>
      <c r="BS8" s="149" t="s">
        <v>10</v>
      </c>
      <c r="BT8" s="149" t="s">
        <v>189</v>
      </c>
      <c r="BU8" s="146" t="s">
        <v>8</v>
      </c>
      <c r="BV8" s="146" t="s">
        <v>50</v>
      </c>
      <c r="BW8" s="146" t="s">
        <v>151</v>
      </c>
      <c r="BX8" s="146" t="s">
        <v>8</v>
      </c>
      <c r="BY8" s="146" t="s">
        <v>151</v>
      </c>
      <c r="BZ8" s="146" t="s">
        <v>7</v>
      </c>
      <c r="CA8" s="146" t="s">
        <v>10</v>
      </c>
      <c r="CB8" s="146" t="s">
        <v>7</v>
      </c>
      <c r="CC8" s="146" t="s">
        <v>10</v>
      </c>
      <c r="CD8" s="146" t="s">
        <v>189</v>
      </c>
      <c r="CE8" s="150" t="s">
        <v>7</v>
      </c>
      <c r="CF8" s="150" t="s">
        <v>10</v>
      </c>
      <c r="CG8" s="150" t="s">
        <v>7</v>
      </c>
      <c r="CH8" s="150" t="s">
        <v>10</v>
      </c>
      <c r="CI8" s="150" t="s">
        <v>7</v>
      </c>
      <c r="CJ8" s="150" t="s">
        <v>10</v>
      </c>
      <c r="CK8" s="150" t="s">
        <v>7</v>
      </c>
      <c r="CL8" s="150" t="s">
        <v>10</v>
      </c>
      <c r="CR8" s="161">
        <v>1</v>
      </c>
      <c r="CS8" s="161">
        <v>2</v>
      </c>
      <c r="CT8" s="161">
        <v>3</v>
      </c>
      <c r="CU8" s="161">
        <v>4</v>
      </c>
      <c r="CV8" s="161">
        <v>5</v>
      </c>
      <c r="CW8" s="161">
        <v>6</v>
      </c>
      <c r="CX8" s="161">
        <v>7</v>
      </c>
      <c r="CY8" s="161">
        <v>8</v>
      </c>
      <c r="CZ8" s="161">
        <v>9</v>
      </c>
      <c r="DA8" s="161">
        <v>10</v>
      </c>
      <c r="DB8" s="162">
        <v>11</v>
      </c>
      <c r="DC8" s="162">
        <v>12</v>
      </c>
    </row>
    <row r="9" spans="1:107" s="70" customFormat="1" ht="105.75" hidden="1" customHeight="1" x14ac:dyDescent="0.2">
      <c r="A9" s="776">
        <v>11200</v>
      </c>
      <c r="B9" s="777" t="s">
        <v>1</v>
      </c>
      <c r="C9" s="777" t="s">
        <v>336</v>
      </c>
      <c r="D9" s="780" t="s">
        <v>1023</v>
      </c>
      <c r="E9" s="777" t="s">
        <v>1023</v>
      </c>
      <c r="F9" s="777" t="s">
        <v>1023</v>
      </c>
      <c r="G9" s="777"/>
      <c r="H9" s="777"/>
      <c r="I9" s="777"/>
      <c r="J9" s="777"/>
      <c r="K9" s="777"/>
      <c r="L9" s="777"/>
      <c r="M9" s="777"/>
      <c r="N9" s="777"/>
      <c r="O9" s="777"/>
      <c r="P9" s="777"/>
      <c r="Q9" s="780" t="s">
        <v>1755</v>
      </c>
      <c r="R9" s="780" t="s">
        <v>1754</v>
      </c>
      <c r="S9" s="778" t="s">
        <v>111</v>
      </c>
      <c r="T9" s="777" t="s">
        <v>94</v>
      </c>
      <c r="U9" s="777" t="s">
        <v>204</v>
      </c>
      <c r="V9" s="777" t="s">
        <v>204</v>
      </c>
      <c r="W9" s="778" t="s">
        <v>112</v>
      </c>
      <c r="X9" s="780" t="s">
        <v>1436</v>
      </c>
      <c r="Y9" s="779" t="s">
        <v>436</v>
      </c>
      <c r="Z9" s="778">
        <v>1</v>
      </c>
      <c r="AA9" s="778" t="s">
        <v>220</v>
      </c>
      <c r="AB9" s="780" t="s">
        <v>1435</v>
      </c>
      <c r="AC9" s="871">
        <f>800000000</f>
        <v>800000000</v>
      </c>
      <c r="AD9" s="782">
        <v>1</v>
      </c>
      <c r="AE9" s="777" t="s">
        <v>18</v>
      </c>
      <c r="AF9" s="777" t="s">
        <v>24</v>
      </c>
      <c r="AG9" s="777" t="s">
        <v>204</v>
      </c>
      <c r="AH9" s="777" t="s">
        <v>204</v>
      </c>
      <c r="AI9" s="777" t="s">
        <v>81</v>
      </c>
      <c r="AJ9" s="777" t="s">
        <v>1290</v>
      </c>
      <c r="AK9" s="780" t="s">
        <v>1448</v>
      </c>
      <c r="AL9" s="777" t="s">
        <v>290</v>
      </c>
      <c r="AM9" s="778">
        <v>1</v>
      </c>
      <c r="AN9" s="777" t="str">
        <f>+AB9</f>
        <v xml:space="preserve">Estructurar los anexos técnicos y definir los requisitos para diseñar, desarrollar, implementar  y  dar soporte técnico al nuevo portal web e intranet de la ADRES </v>
      </c>
      <c r="AO9" s="872">
        <f>+AC9</f>
        <v>800000000</v>
      </c>
      <c r="AP9" s="781" t="s">
        <v>46</v>
      </c>
      <c r="AQ9" s="778">
        <v>0</v>
      </c>
      <c r="AR9" s="777" t="str">
        <f>+AN9</f>
        <v xml:space="preserve">Estructurar los anexos técnicos y definir los requisitos para diseñar, desarrollar, implementar  y  dar soporte técnico al nuevo portal web e intranet de la ADRES </v>
      </c>
      <c r="AS9" s="873">
        <v>0</v>
      </c>
      <c r="AT9" s="874">
        <v>0</v>
      </c>
      <c r="AU9" s="875">
        <v>0</v>
      </c>
      <c r="AV9" s="783" t="e">
        <f t="shared" ref="AV9:AV42" si="0">+(AT9/AQ9)</f>
        <v>#DIV/0!</v>
      </c>
      <c r="AW9" s="783" t="e">
        <f>+(AU9/AS9)</f>
        <v>#DIV/0!</v>
      </c>
      <c r="AX9" s="783">
        <f t="shared" ref="AX9:AX42" si="1">+(AT9/AM9)</f>
        <v>0</v>
      </c>
      <c r="AY9" s="783">
        <f>+(AU9/AO9)</f>
        <v>0</v>
      </c>
      <c r="AZ9" s="876" t="s">
        <v>1354</v>
      </c>
      <c r="BA9" s="778">
        <v>0</v>
      </c>
      <c r="BB9" s="777" t="str">
        <f>+AN9</f>
        <v xml:space="preserve">Estructurar los anexos técnicos y definir los requisitos para diseñar, desarrollar, implementar  y  dar soporte técnico al nuevo portal web e intranet de la ADRES </v>
      </c>
      <c r="BC9" s="873">
        <f>+AC9/3</f>
        <v>266666666.66666666</v>
      </c>
      <c r="BD9" s="779">
        <v>0</v>
      </c>
      <c r="BE9" s="873">
        <v>0</v>
      </c>
      <c r="BF9" s="783" t="e">
        <f>+(BD9/BA9)</f>
        <v>#DIV/0!</v>
      </c>
      <c r="BG9" s="783">
        <f>+(BE9/BC9)</f>
        <v>0</v>
      </c>
      <c r="BH9" s="783">
        <f>+(BD9+AT9)/AM9</f>
        <v>0</v>
      </c>
      <c r="BI9" s="783">
        <f>+(BE9+AU9)/AO9</f>
        <v>0</v>
      </c>
      <c r="BJ9" s="877"/>
      <c r="BK9" s="778">
        <v>0</v>
      </c>
      <c r="BL9" s="777" t="str">
        <f>+AN9</f>
        <v xml:space="preserve">Estructurar los anexos técnicos y definir los requisitos para diseñar, desarrollar, implementar  y  dar soporte técnico al nuevo portal web e intranet de la ADRES </v>
      </c>
      <c r="BM9" s="873">
        <f>+AO9/3</f>
        <v>266666666.66666666</v>
      </c>
      <c r="BN9" s="778"/>
      <c r="BO9" s="778"/>
      <c r="BP9" s="783" t="e">
        <f>+(BN9/BK9)</f>
        <v>#DIV/0!</v>
      </c>
      <c r="BQ9" s="783">
        <f>+(BO9/BM9)</f>
        <v>0</v>
      </c>
      <c r="BR9" s="783">
        <f>+(BD9+AT9+BN9)/AM9</f>
        <v>0</v>
      </c>
      <c r="BS9" s="783">
        <f>+(BE9+AU9+BO9)/AO9</f>
        <v>0</v>
      </c>
      <c r="BT9" s="783"/>
      <c r="BU9" s="778">
        <v>1</v>
      </c>
      <c r="BV9" s="777" t="str">
        <f>+AN9</f>
        <v xml:space="preserve">Estructurar los anexos técnicos y definir los requisitos para diseñar, desarrollar, implementar  y  dar soporte técnico al nuevo portal web e intranet de la ADRES </v>
      </c>
      <c r="BW9" s="873">
        <f>+AO9/3</f>
        <v>266666666.66666666</v>
      </c>
      <c r="BX9" s="778"/>
      <c r="BY9" s="778"/>
      <c r="BZ9" s="783">
        <f>+(BX9/BU9)</f>
        <v>0</v>
      </c>
      <c r="CA9" s="783">
        <f>+(BY9/BW9)</f>
        <v>0</v>
      </c>
      <c r="CB9" s="783">
        <f>+(BD9+AT9+BN9+BX9)/AM9</f>
        <v>0</v>
      </c>
      <c r="CC9" s="783">
        <f>+(BE9+AU9+BO9+BY9)/AO9</f>
        <v>0</v>
      </c>
      <c r="CD9" s="783"/>
      <c r="CE9" s="784" t="str">
        <f t="shared" ref="CE9:CE42" si="2">IF(AND(AQ9=0,AT9=0),"No Prog ni Ejec",IF(AQ9=0,CONCATENATE("No Prog, Ejec=  ",AT9),AT9/AQ9))</f>
        <v>No Prog ni Ejec</v>
      </c>
      <c r="CF9" s="784" t="str">
        <f>IF(AND(AS9=0,AU9=0),"No Prog ni Ejec",IF(AS9=0,CONCATENATE("No Prog, Ejec=  ",AU9),AU9/AS9))</f>
        <v>No Prog ni Ejec</v>
      </c>
      <c r="CG9" s="784" t="str">
        <f t="shared" ref="CG9:CG42" si="3">IF(AND(BA9=0,BD9=0),"No Prog ni Ejec",IF(BA9=0,CONCATENATE("No Prog, Ejec=  ",BD9),BD9/BA9))</f>
        <v>No Prog ni Ejec</v>
      </c>
      <c r="CH9" s="784">
        <f>IF(AND(BC9=0,BE9=0),"No Prog ni Ejec",IF(BC9=0,CONCATENATE("No Prog, Ejec=  ",BE9),BE9/BC9))</f>
        <v>0</v>
      </c>
      <c r="CI9" s="784" t="str">
        <f t="shared" ref="CI9:CI42" si="4">IF(AND(BK9=0,BN9=0),"No Prog ni Ejec",IF(BK9=0,CONCATENATE("No Prog, Ejec=  ",BN9),BN9/BK9))</f>
        <v>No Prog ni Ejec</v>
      </c>
      <c r="CJ9" s="784">
        <f>IF(AND(BM9=0,BO9=0),"No Prog ni Ejec",IF(BM9=0,CONCATENATE("No Prog, Ejec=  ",BO9),BO9/BM9))</f>
        <v>0</v>
      </c>
      <c r="CK9" s="784">
        <f t="shared" ref="CK9:CK42" si="5">IF(AND(BU9=0,BX9=0),"No Prog ni Ejec",IF(BU9=0,CONCATENATE("No Prog, Ejec=  ",BX9),BX9/BU9))</f>
        <v>0</v>
      </c>
      <c r="CL9" s="878">
        <f>IF(AND(BW9=0,BY9=0),"No Prog ni Ejec",IF(BW9=0,CONCATENATE("No Prog, Ejec=  ",BY9),BY9/BW9))</f>
        <v>0</v>
      </c>
      <c r="CM9" s="136">
        <f>+AC9-AS9-BC9-BM9-BW9</f>
        <v>0</v>
      </c>
      <c r="CW9" s="125">
        <v>6</v>
      </c>
    </row>
    <row r="10" spans="1:107" s="70" customFormat="1" ht="103.5" hidden="1" customHeight="1" x14ac:dyDescent="0.2">
      <c r="A10" s="785">
        <v>11200</v>
      </c>
      <c r="B10" s="693" t="s">
        <v>1</v>
      </c>
      <c r="C10" s="693" t="s">
        <v>330</v>
      </c>
      <c r="D10" s="693"/>
      <c r="E10" s="693" t="s">
        <v>1023</v>
      </c>
      <c r="F10" s="693" t="s">
        <v>1023</v>
      </c>
      <c r="G10" s="693"/>
      <c r="H10" s="693"/>
      <c r="I10" s="693"/>
      <c r="J10" s="693"/>
      <c r="K10" s="693"/>
      <c r="L10" s="693"/>
      <c r="M10" s="693"/>
      <c r="N10" s="693"/>
      <c r="O10" s="693"/>
      <c r="P10" s="693"/>
      <c r="Q10" s="693" t="s">
        <v>204</v>
      </c>
      <c r="R10" s="693" t="s">
        <v>204</v>
      </c>
      <c r="S10" s="968" t="s">
        <v>111</v>
      </c>
      <c r="T10" s="693" t="s">
        <v>94</v>
      </c>
      <c r="U10" s="693" t="s">
        <v>204</v>
      </c>
      <c r="V10" s="693" t="s">
        <v>204</v>
      </c>
      <c r="W10" s="695" t="s">
        <v>661</v>
      </c>
      <c r="X10" s="702" t="s">
        <v>1440</v>
      </c>
      <c r="Y10" s="716" t="s">
        <v>436</v>
      </c>
      <c r="Z10" s="695">
        <v>12</v>
      </c>
      <c r="AA10" s="968" t="s">
        <v>659</v>
      </c>
      <c r="AB10" s="972" t="s">
        <v>1439</v>
      </c>
      <c r="AC10" s="1060">
        <v>53164884</v>
      </c>
      <c r="AD10" s="964">
        <v>1</v>
      </c>
      <c r="AE10" s="959" t="s">
        <v>18</v>
      </c>
      <c r="AF10" s="959" t="s">
        <v>24</v>
      </c>
      <c r="AG10" s="959" t="s">
        <v>204</v>
      </c>
      <c r="AH10" s="959" t="s">
        <v>204</v>
      </c>
      <c r="AI10" s="959" t="s">
        <v>1055</v>
      </c>
      <c r="AJ10" s="1076" t="s">
        <v>1278</v>
      </c>
      <c r="AK10" s="702" t="s">
        <v>1441</v>
      </c>
      <c r="AL10" s="959" t="s">
        <v>204</v>
      </c>
      <c r="AM10" s="67">
        <v>12</v>
      </c>
      <c r="AN10" s="959" t="str">
        <f>+AB10</f>
        <v>Realizar el seguimiento de las publicaciones en redes sociales y diferentes medios de comunicación asociados a la ADRES y referenciar la información en los formatos dispuestos por la dirección general.</v>
      </c>
      <c r="AO10" s="965">
        <f>+AC10</f>
        <v>53164884</v>
      </c>
      <c r="AP10" s="700" t="s">
        <v>46</v>
      </c>
      <c r="AQ10" s="67">
        <v>3</v>
      </c>
      <c r="AR10" s="959" t="str">
        <f>+AN10</f>
        <v>Realizar el seguimiento de las publicaciones en redes sociales y diferentes medios de comunicación asociados a la ADRES y referenciar la información en los formatos dispuestos por la dirección general.</v>
      </c>
      <c r="AS10" s="963">
        <f>+AO10/4</f>
        <v>13291221</v>
      </c>
      <c r="AT10" s="485">
        <v>3</v>
      </c>
      <c r="AU10" s="963">
        <v>9303854</v>
      </c>
      <c r="AV10" s="690">
        <f t="shared" si="0"/>
        <v>1</v>
      </c>
      <c r="AW10" s="960">
        <f>+(AU10/AS10)</f>
        <v>0.69999994733365734</v>
      </c>
      <c r="AX10" s="690">
        <f t="shared" si="1"/>
        <v>0.25</v>
      </c>
      <c r="AY10" s="960">
        <f>+(AU10/AO10)</f>
        <v>0.17499998683341433</v>
      </c>
      <c r="AZ10" s="490" t="s">
        <v>1355</v>
      </c>
      <c r="BA10" s="67">
        <v>3</v>
      </c>
      <c r="BB10" s="959" t="str">
        <f>+AN10</f>
        <v>Realizar el seguimiento de las publicaciones en redes sociales y diferentes medios de comunicación asociados a la ADRES y referenciar la información en los formatos dispuestos por la dirección general.</v>
      </c>
      <c r="BC10" s="963">
        <f>+AO10/4</f>
        <v>13291221</v>
      </c>
      <c r="BD10" s="749">
        <v>3</v>
      </c>
      <c r="BE10" s="940">
        <v>13291221</v>
      </c>
      <c r="BF10" s="690">
        <f>+(BD10/BA10)</f>
        <v>1</v>
      </c>
      <c r="BG10" s="960">
        <f>+(BE10/BC10)</f>
        <v>1</v>
      </c>
      <c r="BH10" s="690">
        <f>+(BD10+AT10)/AM10</f>
        <v>0.5</v>
      </c>
      <c r="BI10" s="960">
        <f>+(BE10+AU10)/AO10</f>
        <v>0.42499998683341433</v>
      </c>
      <c r="BJ10" s="512"/>
      <c r="BK10" s="67">
        <v>3</v>
      </c>
      <c r="BL10" s="959" t="str">
        <f>+AN10</f>
        <v>Realizar el seguimiento de las publicaciones en redes sociales y diferentes medios de comunicación asociados a la ADRES y referenciar la información en los formatos dispuestos por la dirección general.</v>
      </c>
      <c r="BM10" s="963">
        <f>+AO10/4</f>
        <v>13291221</v>
      </c>
      <c r="BN10" s="695"/>
      <c r="BO10" s="968"/>
      <c r="BP10" s="690">
        <f>+(BN10/BK10)</f>
        <v>0</v>
      </c>
      <c r="BQ10" s="960">
        <f>+(BO10/BM10)</f>
        <v>0</v>
      </c>
      <c r="BR10" s="690">
        <f>+(BD10+AT10+BN10)/AM10</f>
        <v>0.5</v>
      </c>
      <c r="BS10" s="960">
        <f>+(BE10+AU10+BO10)/AO10</f>
        <v>0.42499998683341433</v>
      </c>
      <c r="BT10" s="68"/>
      <c r="BU10" s="67">
        <v>3</v>
      </c>
      <c r="BV10" s="959" t="str">
        <f>+AN10</f>
        <v>Realizar el seguimiento de las publicaciones en redes sociales y diferentes medios de comunicación asociados a la ADRES y referenciar la información en los formatos dispuestos por la dirección general.</v>
      </c>
      <c r="BW10" s="963">
        <f>+AO10/4</f>
        <v>13291221</v>
      </c>
      <c r="BX10" s="695"/>
      <c r="BY10" s="968"/>
      <c r="BZ10" s="690">
        <f>+(BX10/BU10)</f>
        <v>0</v>
      </c>
      <c r="CA10" s="960">
        <f>+(BY10/BW10)</f>
        <v>0</v>
      </c>
      <c r="CB10" s="690">
        <f>+(BD10+AT10+BN10+BX10)/AM10</f>
        <v>0.5</v>
      </c>
      <c r="CC10" s="960">
        <f>+(BE10+AU10+BO10+BY10)/AO10</f>
        <v>0.42499998683341433</v>
      </c>
      <c r="CD10" s="68"/>
      <c r="CE10" s="697">
        <f t="shared" si="2"/>
        <v>1</v>
      </c>
      <c r="CF10" s="1018">
        <f>IF(AND(AS10=0,AU10=0),"No Prog ni Ejec",IF(AS10=0,CONCATENATE("No Prog, Ejec=  ",AU10),AU10/AS10))</f>
        <v>0.69999994733365734</v>
      </c>
      <c r="CG10" s="697">
        <f t="shared" si="3"/>
        <v>1</v>
      </c>
      <c r="CH10" s="1018">
        <f>IF(AND(BC10=0,BE10=0),"No Prog ni Ejec",IF(BC10=0,CONCATENATE("No Prog, Ejec=  ",BE10),BE10/BC10))</f>
        <v>1</v>
      </c>
      <c r="CI10" s="697">
        <f t="shared" si="4"/>
        <v>0</v>
      </c>
      <c r="CJ10" s="1018">
        <f>IF(AND(BM10=0,BO10=0),"No Prog ni Ejec",IF(BM10=0,CONCATENATE("No Prog, Ejec=  ",BO10),BO10/BM10))</f>
        <v>0</v>
      </c>
      <c r="CK10" s="697">
        <f t="shared" si="5"/>
        <v>0</v>
      </c>
      <c r="CL10" s="1017">
        <f>IF(AND(BW10=0,BY10=0),"No Prog ni Ejec",IF(BW10=0,CONCATENATE("No Prog, Ejec=  ",BY10),BY10/BW10))</f>
        <v>0</v>
      </c>
      <c r="CM10" s="136">
        <f t="shared" ref="CM10:CM71" si="6">+AC10-AS10-BC10-BM10-BW10</f>
        <v>0</v>
      </c>
      <c r="CW10" s="125">
        <v>6</v>
      </c>
    </row>
    <row r="11" spans="1:107" s="614" customFormat="1" ht="89.25" hidden="1" customHeight="1" x14ac:dyDescent="0.2">
      <c r="A11" s="1092">
        <v>11200</v>
      </c>
      <c r="B11" s="1083" t="s">
        <v>1</v>
      </c>
      <c r="C11" s="1083" t="s">
        <v>330</v>
      </c>
      <c r="D11" s="693"/>
      <c r="E11" s="693" t="s">
        <v>1023</v>
      </c>
      <c r="F11" s="693" t="s">
        <v>1023</v>
      </c>
      <c r="G11" s="693"/>
      <c r="H11" s="693"/>
      <c r="I11" s="693"/>
      <c r="J11" s="693"/>
      <c r="K11" s="693"/>
      <c r="L11" s="693"/>
      <c r="M11" s="693"/>
      <c r="N11" s="693"/>
      <c r="O11" s="693"/>
      <c r="P11" s="693"/>
      <c r="Q11" s="693" t="s">
        <v>204</v>
      </c>
      <c r="R11" s="693" t="s">
        <v>204</v>
      </c>
      <c r="S11" s="968"/>
      <c r="T11" s="959" t="s">
        <v>94</v>
      </c>
      <c r="U11" s="959" t="s">
        <v>204</v>
      </c>
      <c r="V11" s="959" t="s">
        <v>204</v>
      </c>
      <c r="W11" s="694" t="s">
        <v>923</v>
      </c>
      <c r="X11" s="1083" t="s">
        <v>437</v>
      </c>
      <c r="Y11" s="608" t="s">
        <v>51</v>
      </c>
      <c r="Z11" s="615">
        <v>1</v>
      </c>
      <c r="AA11" s="1093"/>
      <c r="AB11" s="1098"/>
      <c r="AC11" s="1100"/>
      <c r="AD11" s="964"/>
      <c r="AE11" s="959"/>
      <c r="AF11" s="959"/>
      <c r="AG11" s="959"/>
      <c r="AH11" s="959"/>
      <c r="AI11" s="959"/>
      <c r="AJ11" s="1076"/>
      <c r="AK11" s="689" t="s">
        <v>237</v>
      </c>
      <c r="AL11" s="959"/>
      <c r="AM11" s="615">
        <v>1</v>
      </c>
      <c r="AN11" s="1083"/>
      <c r="AO11" s="1099"/>
      <c r="AP11" s="700" t="s">
        <v>46</v>
      </c>
      <c r="AQ11" s="615">
        <v>0.25</v>
      </c>
      <c r="AR11" s="1083"/>
      <c r="AS11" s="1095"/>
      <c r="AT11" s="616">
        <v>0.16063675832127353</v>
      </c>
      <c r="AU11" s="1095"/>
      <c r="AV11" s="692">
        <f t="shared" si="0"/>
        <v>0.6425470332850941</v>
      </c>
      <c r="AW11" s="1090"/>
      <c r="AX11" s="692">
        <f t="shared" si="1"/>
        <v>0.16063675832127353</v>
      </c>
      <c r="AY11" s="1090"/>
      <c r="AZ11" s="617" t="s">
        <v>1356</v>
      </c>
      <c r="BA11" s="615">
        <v>0.25</v>
      </c>
      <c r="BB11" s="1083"/>
      <c r="BC11" s="1095"/>
      <c r="BD11" s="608"/>
      <c r="BE11" s="696"/>
      <c r="BF11" s="692">
        <f>+(BD11/BA11)</f>
        <v>0</v>
      </c>
      <c r="BG11" s="1090"/>
      <c r="BH11" s="692">
        <f>+(BD11+AT11)/AM11</f>
        <v>0.16063675832127353</v>
      </c>
      <c r="BI11" s="1090"/>
      <c r="BJ11" s="762"/>
      <c r="BK11" s="615">
        <v>0.25</v>
      </c>
      <c r="BL11" s="1083"/>
      <c r="BM11" s="1095"/>
      <c r="BN11" s="694"/>
      <c r="BO11" s="1093"/>
      <c r="BP11" s="692">
        <f>+(BN11/BK11)</f>
        <v>0</v>
      </c>
      <c r="BQ11" s="1090"/>
      <c r="BR11" s="692">
        <f>+(BD11+AT11+BN11)/AM11</f>
        <v>0.16063675832127353</v>
      </c>
      <c r="BS11" s="1090"/>
      <c r="BT11" s="692"/>
      <c r="BU11" s="615">
        <v>0.25</v>
      </c>
      <c r="BV11" s="1083"/>
      <c r="BW11" s="1095"/>
      <c r="BX11" s="694"/>
      <c r="BY11" s="1093"/>
      <c r="BZ11" s="707">
        <f>+(BX11/BU11)</f>
        <v>0</v>
      </c>
      <c r="CA11" s="1090"/>
      <c r="CB11" s="707">
        <f>+(BD11+AT11+BN11+BX11)/AM11</f>
        <v>0.16063675832127353</v>
      </c>
      <c r="CC11" s="1090"/>
      <c r="CD11" s="707"/>
      <c r="CE11" s="699">
        <f t="shared" si="2"/>
        <v>0.6425470332850941</v>
      </c>
      <c r="CF11" s="1096"/>
      <c r="CG11" s="699">
        <f t="shared" si="3"/>
        <v>0</v>
      </c>
      <c r="CH11" s="1096"/>
      <c r="CI11" s="699">
        <f t="shared" si="4"/>
        <v>0</v>
      </c>
      <c r="CJ11" s="1096"/>
      <c r="CK11" s="699">
        <f t="shared" si="5"/>
        <v>0</v>
      </c>
      <c r="CL11" s="1108"/>
      <c r="CM11" s="613">
        <f t="shared" si="6"/>
        <v>0</v>
      </c>
      <c r="CR11" s="70"/>
      <c r="CS11" s="70"/>
      <c r="CT11" s="70"/>
      <c r="CU11" s="70"/>
      <c r="CV11" s="70"/>
      <c r="CW11" s="125">
        <v>6</v>
      </c>
      <c r="CX11" s="70"/>
      <c r="CY11" s="70"/>
      <c r="CZ11" s="70"/>
      <c r="DA11" s="70"/>
      <c r="DB11" s="70"/>
      <c r="DC11" s="70"/>
    </row>
    <row r="12" spans="1:107" s="614" customFormat="1" ht="89.25" hidden="1" customHeight="1" x14ac:dyDescent="0.2">
      <c r="A12" s="967"/>
      <c r="B12" s="959"/>
      <c r="C12" s="959"/>
      <c r="D12" s="689"/>
      <c r="E12" s="689" t="s">
        <v>1023</v>
      </c>
      <c r="F12" s="689" t="s">
        <v>1023</v>
      </c>
      <c r="G12" s="689"/>
      <c r="H12" s="689"/>
      <c r="I12" s="689"/>
      <c r="J12" s="689"/>
      <c r="K12" s="689"/>
      <c r="L12" s="689"/>
      <c r="M12" s="689"/>
      <c r="N12" s="689"/>
      <c r="O12" s="689"/>
      <c r="P12" s="689"/>
      <c r="Q12" s="689" t="s">
        <v>204</v>
      </c>
      <c r="R12" s="689" t="s">
        <v>204</v>
      </c>
      <c r="S12" s="968"/>
      <c r="T12" s="959"/>
      <c r="U12" s="959"/>
      <c r="V12" s="959"/>
      <c r="W12" s="694" t="s">
        <v>924</v>
      </c>
      <c r="X12" s="959"/>
      <c r="Y12" s="608" t="s">
        <v>51</v>
      </c>
      <c r="Z12" s="615">
        <v>0.12</v>
      </c>
      <c r="AA12" s="968"/>
      <c r="AB12" s="972"/>
      <c r="AC12" s="1060"/>
      <c r="AD12" s="964"/>
      <c r="AE12" s="959"/>
      <c r="AF12" s="959"/>
      <c r="AG12" s="959"/>
      <c r="AH12" s="959"/>
      <c r="AI12" s="959"/>
      <c r="AJ12" s="1076"/>
      <c r="AK12" s="689" t="s">
        <v>327</v>
      </c>
      <c r="AL12" s="959"/>
      <c r="AM12" s="615">
        <v>0.12</v>
      </c>
      <c r="AN12" s="959"/>
      <c r="AO12" s="965"/>
      <c r="AP12" s="723" t="s">
        <v>46</v>
      </c>
      <c r="AQ12" s="615">
        <v>0.03</v>
      </c>
      <c r="AR12" s="959"/>
      <c r="AS12" s="963"/>
      <c r="AT12" s="694">
        <v>0</v>
      </c>
      <c r="AU12" s="963"/>
      <c r="AV12" s="692">
        <f t="shared" si="0"/>
        <v>0</v>
      </c>
      <c r="AW12" s="960"/>
      <c r="AX12" s="692">
        <f t="shared" si="1"/>
        <v>0</v>
      </c>
      <c r="AY12" s="960"/>
      <c r="AZ12" s="617" t="s">
        <v>1354</v>
      </c>
      <c r="BA12" s="615">
        <v>0.03</v>
      </c>
      <c r="BB12" s="959"/>
      <c r="BC12" s="963"/>
      <c r="BD12" s="608"/>
      <c r="BE12" s="696"/>
      <c r="BF12" s="692">
        <f>+(BD12/BA12)</f>
        <v>0</v>
      </c>
      <c r="BG12" s="960"/>
      <c r="BH12" s="692">
        <f>+(BD12+AT12)/AM12</f>
        <v>0</v>
      </c>
      <c r="BI12" s="960"/>
      <c r="BJ12" s="762"/>
      <c r="BK12" s="615">
        <v>0.03</v>
      </c>
      <c r="BL12" s="959"/>
      <c r="BM12" s="963"/>
      <c r="BN12" s="694"/>
      <c r="BO12" s="968"/>
      <c r="BP12" s="751">
        <f>+(BN12/BK12)</f>
        <v>0</v>
      </c>
      <c r="BQ12" s="960"/>
      <c r="BR12" s="751">
        <f>+(BD12+AT12+BN12)/AM12</f>
        <v>0</v>
      </c>
      <c r="BS12" s="960"/>
      <c r="BT12" s="692"/>
      <c r="BU12" s="615">
        <v>0.03</v>
      </c>
      <c r="BV12" s="959"/>
      <c r="BW12" s="963"/>
      <c r="BX12" s="694"/>
      <c r="BY12" s="968"/>
      <c r="BZ12" s="752">
        <f>+(BX12/BU12)</f>
        <v>0</v>
      </c>
      <c r="CA12" s="960"/>
      <c r="CB12" s="752">
        <f>+(BD12+AT12+BN12+BX12)/AM12</f>
        <v>0</v>
      </c>
      <c r="CC12" s="960"/>
      <c r="CD12" s="707"/>
      <c r="CE12" s="699">
        <f t="shared" si="2"/>
        <v>0</v>
      </c>
      <c r="CF12" s="1018"/>
      <c r="CG12" s="699">
        <f t="shared" si="3"/>
        <v>0</v>
      </c>
      <c r="CH12" s="1018"/>
      <c r="CI12" s="699">
        <f t="shared" si="4"/>
        <v>0</v>
      </c>
      <c r="CJ12" s="1018"/>
      <c r="CK12" s="699">
        <f t="shared" si="5"/>
        <v>0</v>
      </c>
      <c r="CL12" s="1017"/>
      <c r="CM12" s="613">
        <f t="shared" si="6"/>
        <v>0</v>
      </c>
    </row>
    <row r="13" spans="1:107" s="614" customFormat="1" ht="45" hidden="1" customHeight="1" x14ac:dyDescent="0.2">
      <c r="A13" s="967"/>
      <c r="B13" s="959"/>
      <c r="C13" s="959"/>
      <c r="D13" s="689"/>
      <c r="E13" s="689" t="s">
        <v>1023</v>
      </c>
      <c r="F13" s="689" t="s">
        <v>1023</v>
      </c>
      <c r="G13" s="689"/>
      <c r="H13" s="689"/>
      <c r="I13" s="689"/>
      <c r="J13" s="689"/>
      <c r="K13" s="689"/>
      <c r="L13" s="689"/>
      <c r="M13" s="689"/>
      <c r="N13" s="689"/>
      <c r="O13" s="689"/>
      <c r="P13" s="689"/>
      <c r="Q13" s="689" t="s">
        <v>204</v>
      </c>
      <c r="R13" s="689" t="s">
        <v>204</v>
      </c>
      <c r="S13" s="968"/>
      <c r="T13" s="959"/>
      <c r="U13" s="959"/>
      <c r="V13" s="959"/>
      <c r="W13" s="694" t="s">
        <v>925</v>
      </c>
      <c r="X13" s="959"/>
      <c r="Y13" s="608" t="s">
        <v>391</v>
      </c>
      <c r="Z13" s="632">
        <v>12</v>
      </c>
      <c r="AA13" s="968"/>
      <c r="AB13" s="972"/>
      <c r="AC13" s="1060"/>
      <c r="AD13" s="964"/>
      <c r="AE13" s="959"/>
      <c r="AF13" s="959"/>
      <c r="AG13" s="959"/>
      <c r="AH13" s="959"/>
      <c r="AI13" s="959"/>
      <c r="AJ13" s="1076"/>
      <c r="AK13" s="689" t="s">
        <v>326</v>
      </c>
      <c r="AL13" s="959"/>
      <c r="AM13" s="632">
        <v>12</v>
      </c>
      <c r="AN13" s="959"/>
      <c r="AO13" s="965"/>
      <c r="AP13" s="723" t="s">
        <v>46</v>
      </c>
      <c r="AQ13" s="632">
        <v>3</v>
      </c>
      <c r="AR13" s="959"/>
      <c r="AS13" s="963"/>
      <c r="AT13" s="694">
        <v>0</v>
      </c>
      <c r="AU13" s="963"/>
      <c r="AV13" s="692">
        <f t="shared" si="0"/>
        <v>0</v>
      </c>
      <c r="AW13" s="960"/>
      <c r="AX13" s="692">
        <f t="shared" si="1"/>
        <v>0</v>
      </c>
      <c r="AY13" s="960"/>
      <c r="AZ13" s="617" t="s">
        <v>1354</v>
      </c>
      <c r="BA13" s="632">
        <v>3</v>
      </c>
      <c r="BB13" s="959"/>
      <c r="BC13" s="963"/>
      <c r="BD13" s="608"/>
      <c r="BE13" s="696"/>
      <c r="BF13" s="692">
        <f>+(BD13/BA13)</f>
        <v>0</v>
      </c>
      <c r="BG13" s="960"/>
      <c r="BH13" s="692">
        <f>+(BD13+AT13)/AM13</f>
        <v>0</v>
      </c>
      <c r="BI13" s="960"/>
      <c r="BJ13" s="762"/>
      <c r="BK13" s="632">
        <v>3</v>
      </c>
      <c r="BL13" s="959"/>
      <c r="BM13" s="963"/>
      <c r="BN13" s="694"/>
      <c r="BO13" s="968"/>
      <c r="BP13" s="751">
        <f>+(BN13/BK13)</f>
        <v>0</v>
      </c>
      <c r="BQ13" s="960"/>
      <c r="BR13" s="751">
        <f>+(BD13+AT13+BN13)/AM13</f>
        <v>0</v>
      </c>
      <c r="BS13" s="960"/>
      <c r="BT13" s="692"/>
      <c r="BU13" s="632">
        <v>3</v>
      </c>
      <c r="BV13" s="959"/>
      <c r="BW13" s="963"/>
      <c r="BX13" s="694"/>
      <c r="BY13" s="968"/>
      <c r="BZ13" s="752">
        <f>+(BX13/BU13)</f>
        <v>0</v>
      </c>
      <c r="CA13" s="960"/>
      <c r="CB13" s="752">
        <f>+(BD13+AT13+BN13+BX13)/AM13</f>
        <v>0</v>
      </c>
      <c r="CC13" s="960"/>
      <c r="CD13" s="707"/>
      <c r="CE13" s="699">
        <f t="shared" si="2"/>
        <v>0</v>
      </c>
      <c r="CF13" s="1018"/>
      <c r="CG13" s="699">
        <f t="shared" si="3"/>
        <v>0</v>
      </c>
      <c r="CH13" s="1018"/>
      <c r="CI13" s="699">
        <f t="shared" si="4"/>
        <v>0</v>
      </c>
      <c r="CJ13" s="1018"/>
      <c r="CK13" s="699">
        <f t="shared" si="5"/>
        <v>0</v>
      </c>
      <c r="CL13" s="1017"/>
      <c r="CM13" s="613">
        <f t="shared" si="6"/>
        <v>0</v>
      </c>
    </row>
    <row r="14" spans="1:107" s="70" customFormat="1" ht="107.25" hidden="1" customHeight="1" x14ac:dyDescent="0.2">
      <c r="A14" s="785">
        <v>11200</v>
      </c>
      <c r="B14" s="693" t="s">
        <v>1</v>
      </c>
      <c r="C14" s="693" t="s">
        <v>336</v>
      </c>
      <c r="D14" s="693" t="s">
        <v>1023</v>
      </c>
      <c r="E14" s="693"/>
      <c r="F14" s="693" t="s">
        <v>1023</v>
      </c>
      <c r="G14" s="693"/>
      <c r="H14" s="693"/>
      <c r="I14" s="693"/>
      <c r="J14" s="693"/>
      <c r="K14" s="693"/>
      <c r="L14" s="693"/>
      <c r="M14" s="693"/>
      <c r="N14" s="693"/>
      <c r="O14" s="693"/>
      <c r="P14" s="693"/>
      <c r="Q14" s="693" t="s">
        <v>1136</v>
      </c>
      <c r="R14" s="693" t="s">
        <v>1138</v>
      </c>
      <c r="S14" s="695" t="s">
        <v>111</v>
      </c>
      <c r="T14" s="693" t="s">
        <v>94</v>
      </c>
      <c r="U14" s="693" t="s">
        <v>204</v>
      </c>
      <c r="V14" s="693" t="s">
        <v>204</v>
      </c>
      <c r="W14" s="695" t="s">
        <v>663</v>
      </c>
      <c r="X14" s="693" t="s">
        <v>666</v>
      </c>
      <c r="Y14" s="716" t="s">
        <v>391</v>
      </c>
      <c r="Z14" s="66">
        <v>1</v>
      </c>
      <c r="AA14" s="695" t="s">
        <v>662</v>
      </c>
      <c r="AB14" s="693" t="s">
        <v>664</v>
      </c>
      <c r="AC14" s="701">
        <v>11000000</v>
      </c>
      <c r="AD14" s="706">
        <v>1</v>
      </c>
      <c r="AE14" s="693" t="s">
        <v>18</v>
      </c>
      <c r="AF14" s="693" t="s">
        <v>24</v>
      </c>
      <c r="AG14" s="693" t="s">
        <v>633</v>
      </c>
      <c r="AH14" s="693" t="s">
        <v>635</v>
      </c>
      <c r="AI14" s="693" t="s">
        <v>1055</v>
      </c>
      <c r="AJ14" s="693" t="s">
        <v>1278</v>
      </c>
      <c r="AK14" s="693" t="s">
        <v>1628</v>
      </c>
      <c r="AL14" s="693" t="s">
        <v>40</v>
      </c>
      <c r="AM14" s="66">
        <v>1</v>
      </c>
      <c r="AN14" s="693" t="str">
        <f t="shared" ref="AN14:AN24" si="7">+AB14</f>
        <v>Realizar piezas audiovisuales para la audiencia pública de rendición de cuentas de la ADRES, así como su cubrimiento y transmisión de video en línea</v>
      </c>
      <c r="AO14" s="703">
        <f t="shared" ref="AO14:AO26" si="8">+AC14</f>
        <v>11000000</v>
      </c>
      <c r="AP14" s="700" t="s">
        <v>46</v>
      </c>
      <c r="AQ14" s="66">
        <v>0</v>
      </c>
      <c r="AR14" s="693" t="str">
        <f t="shared" ref="AR14:AR26" si="9">+AN14</f>
        <v>Realizar piezas audiovisuales para la audiencia pública de rendición de cuentas de la ADRES, así como su cubrimiento y transmisión de video en línea</v>
      </c>
      <c r="AS14" s="691">
        <v>0</v>
      </c>
      <c r="AT14" s="491">
        <v>0</v>
      </c>
      <c r="AU14" s="709">
        <v>0</v>
      </c>
      <c r="AV14" s="690" t="e">
        <f t="shared" si="0"/>
        <v>#DIV/0!</v>
      </c>
      <c r="AW14" s="690" t="e">
        <f t="shared" ref="AW14:AW26" si="10">+(AU14/AS14)</f>
        <v>#DIV/0!</v>
      </c>
      <c r="AX14" s="690">
        <f t="shared" si="1"/>
        <v>0</v>
      </c>
      <c r="AY14" s="690">
        <f t="shared" ref="AY14:AY26" si="11">+(AU14/AO14)</f>
        <v>0</v>
      </c>
      <c r="AZ14" s="490" t="s">
        <v>1354</v>
      </c>
      <c r="BA14" s="66">
        <v>0</v>
      </c>
      <c r="BB14" s="693" t="str">
        <f t="shared" ref="BB14:BB26" si="12">+AN14</f>
        <v>Realizar piezas audiovisuales para la audiencia pública de rendición de cuentas de la ADRES, así como su cubrimiento y transmisión de video en línea</v>
      </c>
      <c r="BC14" s="691">
        <v>0</v>
      </c>
      <c r="BD14" s="716">
        <v>0</v>
      </c>
      <c r="BE14" s="691">
        <v>0</v>
      </c>
      <c r="BF14" s="690" t="e">
        <f t="shared" ref="BF14:BF28" si="13">+(BD14/BA14)</f>
        <v>#DIV/0!</v>
      </c>
      <c r="BG14" s="690" t="e">
        <f t="shared" ref="BG14:BG26" si="14">+(BE14/BC14)</f>
        <v>#DIV/0!</v>
      </c>
      <c r="BH14" s="690">
        <f t="shared" ref="BH14:BH28" si="15">+(BD14+AT14)/AM14</f>
        <v>0</v>
      </c>
      <c r="BI14" s="690">
        <f t="shared" ref="BI14:BI26" si="16">+(BE14+AU14)/AO14</f>
        <v>0</v>
      </c>
      <c r="BJ14" s="512" t="s">
        <v>1677</v>
      </c>
      <c r="BK14" s="66">
        <v>1</v>
      </c>
      <c r="BL14" s="693" t="str">
        <f>+AN14</f>
        <v>Realizar piezas audiovisuales para la audiencia pública de rendición de cuentas de la ADRES, así como su cubrimiento y transmisión de video en línea</v>
      </c>
      <c r="BM14" s="691">
        <f>+AO14</f>
        <v>11000000</v>
      </c>
      <c r="BN14" s="695"/>
      <c r="BO14" s="695"/>
      <c r="BP14" s="690">
        <f t="shared" ref="BP14:BP29" si="17">+(BN14/BK14)</f>
        <v>0</v>
      </c>
      <c r="BQ14" s="690">
        <f t="shared" ref="BQ14:BQ26" si="18">+(BO14/BM14)</f>
        <v>0</v>
      </c>
      <c r="BR14" s="690">
        <f t="shared" ref="BR14:BR29" si="19">+(BD14+AT14+BN14)/AM14</f>
        <v>0</v>
      </c>
      <c r="BS14" s="690">
        <f t="shared" ref="BS14:BS26" si="20">+(BE14+AU14+BO14)/AO14</f>
        <v>0</v>
      </c>
      <c r="BT14" s="690"/>
      <c r="BU14" s="66">
        <v>0</v>
      </c>
      <c r="BV14" s="693" t="str">
        <f t="shared" ref="BV14:BV26" si="21">+AN14</f>
        <v>Realizar piezas audiovisuales para la audiencia pública de rendición de cuentas de la ADRES, así como su cubrimiento y transmisión de video en línea</v>
      </c>
      <c r="BW14" s="691">
        <v>0</v>
      </c>
      <c r="BX14" s="695"/>
      <c r="BY14" s="695"/>
      <c r="BZ14" s="698" t="e">
        <f t="shared" ref="BZ14:BZ29" si="22">+(BX14/BU14)</f>
        <v>#DIV/0!</v>
      </c>
      <c r="CA14" s="698" t="e">
        <f t="shared" ref="CA14:CA26" si="23">+(BY14/BW14)</f>
        <v>#DIV/0!</v>
      </c>
      <c r="CB14" s="698">
        <f t="shared" ref="CB14:CB29" si="24">+(BD14+AT14+BN14+BX14)/AM14</f>
        <v>0</v>
      </c>
      <c r="CC14" s="698">
        <f t="shared" ref="CC14:CC26" si="25">+(BE14+AU14+BO14+BY14)/AO14</f>
        <v>0</v>
      </c>
      <c r="CD14" s="698"/>
      <c r="CE14" s="697" t="str">
        <f t="shared" si="2"/>
        <v>No Prog ni Ejec</v>
      </c>
      <c r="CF14" s="697" t="str">
        <f t="shared" ref="CF14:CF26" si="26">IF(AND(AS14=0,AU14=0),"No Prog ni Ejec",IF(AS14=0,CONCATENATE("No Prog, Ejec=  ",AU14),AU14/AS14))</f>
        <v>No Prog ni Ejec</v>
      </c>
      <c r="CG14" s="697" t="str">
        <f t="shared" si="3"/>
        <v>No Prog ni Ejec</v>
      </c>
      <c r="CH14" s="697" t="str">
        <f t="shared" ref="CH14:CH26" si="27">IF(AND(BC14=0,BE14=0),"No Prog ni Ejec",IF(BC14=0,CONCATENATE("No Prog, Ejec=  ",BE14),BE14/BC14))</f>
        <v>No Prog ni Ejec</v>
      </c>
      <c r="CI14" s="697">
        <f t="shared" si="4"/>
        <v>0</v>
      </c>
      <c r="CJ14" s="697">
        <f t="shared" ref="CJ14:CJ26" si="28">IF(AND(BM14=0,BO14=0),"No Prog ni Ejec",IF(BM14=0,CONCATENATE("No Prog, Ejec=  ",BO14),BO14/BM14))</f>
        <v>0</v>
      </c>
      <c r="CK14" s="697" t="str">
        <f t="shared" si="5"/>
        <v>No Prog ni Ejec</v>
      </c>
      <c r="CL14" s="786" t="str">
        <f t="shared" ref="CL14:CL26" si="29">IF(AND(BW14=0,BY14=0),"No Prog ni Ejec",IF(BW14=0,CONCATENATE("No Prog, Ejec=  ",BY14),BY14/BW14))</f>
        <v>No Prog ni Ejec</v>
      </c>
      <c r="CM14" s="136">
        <f t="shared" si="6"/>
        <v>0</v>
      </c>
      <c r="CR14" s="125">
        <v>1</v>
      </c>
      <c r="CS14" s="125"/>
      <c r="CT14" s="125"/>
      <c r="CU14" s="125"/>
      <c r="CV14" s="125"/>
      <c r="CW14" s="125"/>
      <c r="CX14" s="125"/>
      <c r="CY14" s="125"/>
      <c r="CZ14" s="125"/>
      <c r="DA14" s="125"/>
      <c r="DB14" s="125"/>
      <c r="DC14" s="125"/>
    </row>
    <row r="15" spans="1:107" s="70" customFormat="1" ht="102" hidden="1" customHeight="1" x14ac:dyDescent="0.2">
      <c r="A15" s="785">
        <v>11200</v>
      </c>
      <c r="B15" s="693" t="s">
        <v>1</v>
      </c>
      <c r="C15" s="693" t="s">
        <v>336</v>
      </c>
      <c r="D15" s="693" t="s">
        <v>1023</v>
      </c>
      <c r="E15" s="693"/>
      <c r="F15" s="693"/>
      <c r="G15" s="693"/>
      <c r="H15" s="693"/>
      <c r="I15" s="693"/>
      <c r="J15" s="693"/>
      <c r="K15" s="693"/>
      <c r="L15" s="693"/>
      <c r="M15" s="693"/>
      <c r="N15" s="693"/>
      <c r="O15" s="693"/>
      <c r="P15" s="693"/>
      <c r="Q15" s="693" t="s">
        <v>1136</v>
      </c>
      <c r="R15" s="693" t="s">
        <v>1139</v>
      </c>
      <c r="S15" s="695" t="s">
        <v>111</v>
      </c>
      <c r="T15" s="693" t="s">
        <v>94</v>
      </c>
      <c r="U15" s="693" t="s">
        <v>204</v>
      </c>
      <c r="V15" s="693" t="s">
        <v>204</v>
      </c>
      <c r="W15" s="695" t="s">
        <v>668</v>
      </c>
      <c r="X15" s="702" t="s">
        <v>1443</v>
      </c>
      <c r="Y15" s="60" t="s">
        <v>52</v>
      </c>
      <c r="Z15" s="66">
        <v>1</v>
      </c>
      <c r="AA15" s="695" t="s">
        <v>667</v>
      </c>
      <c r="AB15" s="724" t="s">
        <v>916</v>
      </c>
      <c r="AC15" s="691">
        <v>0</v>
      </c>
      <c r="AD15" s="706">
        <v>1</v>
      </c>
      <c r="AE15" s="693" t="s">
        <v>18</v>
      </c>
      <c r="AF15" s="693" t="s">
        <v>24</v>
      </c>
      <c r="AG15" s="693" t="s">
        <v>204</v>
      </c>
      <c r="AH15" s="693" t="s">
        <v>638</v>
      </c>
      <c r="AI15" s="693" t="s">
        <v>1055</v>
      </c>
      <c r="AJ15" s="693" t="s">
        <v>204</v>
      </c>
      <c r="AK15" s="702" t="s">
        <v>1445</v>
      </c>
      <c r="AL15" s="693" t="s">
        <v>204</v>
      </c>
      <c r="AM15" s="706">
        <v>1</v>
      </c>
      <c r="AN15" s="693" t="str">
        <f t="shared" si="7"/>
        <v>Sensibilizar e incentivar a servidores y contratistas sobre la rendición de cuentas, la normativa aplicable, las responsabilidades frente a misma, su importancia y la forma en que la entidad rinde cuentas.</v>
      </c>
      <c r="AO15" s="703">
        <f t="shared" si="8"/>
        <v>0</v>
      </c>
      <c r="AP15" s="700" t="s">
        <v>48</v>
      </c>
      <c r="AQ15" s="66">
        <v>0</v>
      </c>
      <c r="AR15" s="693" t="str">
        <f t="shared" si="9"/>
        <v>Sensibilizar e incentivar a servidores y contratistas sobre la rendición de cuentas, la normativa aplicable, las responsabilidades frente a misma, su importancia y la forma en que la entidad rinde cuentas.</v>
      </c>
      <c r="AS15" s="691">
        <v>0</v>
      </c>
      <c r="AT15" s="491">
        <v>0</v>
      </c>
      <c r="AU15" s="709">
        <v>0</v>
      </c>
      <c r="AV15" s="690" t="e">
        <f t="shared" si="0"/>
        <v>#DIV/0!</v>
      </c>
      <c r="AW15" s="690" t="e">
        <f t="shared" si="10"/>
        <v>#DIV/0!</v>
      </c>
      <c r="AX15" s="690">
        <f t="shared" si="1"/>
        <v>0</v>
      </c>
      <c r="AY15" s="690" t="e">
        <f t="shared" si="11"/>
        <v>#DIV/0!</v>
      </c>
      <c r="AZ15" s="490" t="s">
        <v>1354</v>
      </c>
      <c r="BA15" s="66">
        <v>0</v>
      </c>
      <c r="BB15" s="693" t="str">
        <f t="shared" si="12"/>
        <v>Sensibilizar e incentivar a servidores y contratistas sobre la rendición de cuentas, la normativa aplicable, las responsabilidades frente a misma, su importancia y la forma en que la entidad rinde cuentas.</v>
      </c>
      <c r="BC15" s="691">
        <f>+AC15*BA15</f>
        <v>0</v>
      </c>
      <c r="BD15" s="716">
        <v>0</v>
      </c>
      <c r="BE15" s="691">
        <v>0</v>
      </c>
      <c r="BF15" s="690" t="e">
        <f t="shared" si="13"/>
        <v>#DIV/0!</v>
      </c>
      <c r="BG15" s="690" t="e">
        <f t="shared" si="14"/>
        <v>#DIV/0!</v>
      </c>
      <c r="BH15" s="690">
        <f t="shared" si="15"/>
        <v>0</v>
      </c>
      <c r="BI15" s="690" t="e">
        <f t="shared" si="16"/>
        <v>#DIV/0!</v>
      </c>
      <c r="BJ15" s="512" t="s">
        <v>1677</v>
      </c>
      <c r="BK15" s="66">
        <v>1</v>
      </c>
      <c r="BL15" s="693" t="str">
        <f t="shared" ref="BL15:BL26" si="30">+AN15</f>
        <v>Sensibilizar e incentivar a servidores y contratistas sobre la rendición de cuentas, la normativa aplicable, las responsabilidades frente a misma, su importancia y la forma en que la entidad rinde cuentas.</v>
      </c>
      <c r="BM15" s="691">
        <f>+AO15*BK15</f>
        <v>0</v>
      </c>
      <c r="BN15" s="695"/>
      <c r="BO15" s="695"/>
      <c r="BP15" s="690">
        <f t="shared" si="17"/>
        <v>0</v>
      </c>
      <c r="BQ15" s="690" t="e">
        <f t="shared" si="18"/>
        <v>#DIV/0!</v>
      </c>
      <c r="BR15" s="690">
        <f t="shared" si="19"/>
        <v>0</v>
      </c>
      <c r="BS15" s="690" t="e">
        <f t="shared" si="20"/>
        <v>#DIV/0!</v>
      </c>
      <c r="BT15" s="690"/>
      <c r="BU15" s="66">
        <v>0</v>
      </c>
      <c r="BV15" s="693" t="str">
        <f t="shared" si="21"/>
        <v>Sensibilizar e incentivar a servidores y contratistas sobre la rendición de cuentas, la normativa aplicable, las responsabilidades frente a misma, su importancia y la forma en que la entidad rinde cuentas.</v>
      </c>
      <c r="BW15" s="691">
        <f>+AO15*BU15</f>
        <v>0</v>
      </c>
      <c r="BX15" s="695"/>
      <c r="BY15" s="695"/>
      <c r="BZ15" s="698" t="e">
        <f t="shared" si="22"/>
        <v>#DIV/0!</v>
      </c>
      <c r="CA15" s="698" t="e">
        <f t="shared" si="23"/>
        <v>#DIV/0!</v>
      </c>
      <c r="CB15" s="698">
        <f t="shared" si="24"/>
        <v>0</v>
      </c>
      <c r="CC15" s="698" t="e">
        <f t="shared" si="25"/>
        <v>#DIV/0!</v>
      </c>
      <c r="CD15" s="698"/>
      <c r="CE15" s="697" t="str">
        <f t="shared" si="2"/>
        <v>No Prog ni Ejec</v>
      </c>
      <c r="CF15" s="697" t="str">
        <f t="shared" si="26"/>
        <v>No Prog ni Ejec</v>
      </c>
      <c r="CG15" s="697" t="str">
        <f t="shared" si="3"/>
        <v>No Prog ni Ejec</v>
      </c>
      <c r="CH15" s="697" t="str">
        <f t="shared" si="27"/>
        <v>No Prog ni Ejec</v>
      </c>
      <c r="CI15" s="697">
        <f t="shared" si="4"/>
        <v>0</v>
      </c>
      <c r="CJ15" s="697" t="str">
        <f t="shared" si="28"/>
        <v>No Prog ni Ejec</v>
      </c>
      <c r="CK15" s="697" t="str">
        <f t="shared" si="5"/>
        <v>No Prog ni Ejec</v>
      </c>
      <c r="CL15" s="786" t="str">
        <f t="shared" si="29"/>
        <v>No Prog ni Ejec</v>
      </c>
      <c r="CM15" s="136">
        <f t="shared" si="6"/>
        <v>0</v>
      </c>
      <c r="CR15" s="125">
        <v>1</v>
      </c>
      <c r="CS15" s="125"/>
      <c r="CT15" s="125"/>
      <c r="CU15" s="125"/>
      <c r="CV15" s="125"/>
      <c r="CW15" s="125"/>
      <c r="CX15" s="125"/>
      <c r="CY15" s="125"/>
      <c r="CZ15" s="125"/>
      <c r="DA15" s="125"/>
      <c r="DB15" s="125"/>
      <c r="DC15" s="125"/>
    </row>
    <row r="16" spans="1:107" s="70" customFormat="1" ht="101.25" hidden="1" customHeight="1" x14ac:dyDescent="0.2">
      <c r="A16" s="785">
        <v>11200</v>
      </c>
      <c r="B16" s="693" t="s">
        <v>1</v>
      </c>
      <c r="C16" s="693" t="s">
        <v>336</v>
      </c>
      <c r="D16" s="693" t="s">
        <v>1023</v>
      </c>
      <c r="E16" s="693"/>
      <c r="F16" s="693"/>
      <c r="G16" s="693"/>
      <c r="H16" s="693"/>
      <c r="I16" s="693"/>
      <c r="J16" s="693"/>
      <c r="K16" s="693"/>
      <c r="L16" s="693"/>
      <c r="M16" s="693"/>
      <c r="N16" s="693"/>
      <c r="O16" s="693"/>
      <c r="P16" s="693"/>
      <c r="Q16" s="693" t="s">
        <v>1136</v>
      </c>
      <c r="R16" s="693" t="s">
        <v>1139</v>
      </c>
      <c r="S16" s="695" t="s">
        <v>111</v>
      </c>
      <c r="T16" s="693" t="s">
        <v>94</v>
      </c>
      <c r="U16" s="693" t="s">
        <v>204</v>
      </c>
      <c r="V16" s="693" t="s">
        <v>204</v>
      </c>
      <c r="W16" s="695" t="s">
        <v>669</v>
      </c>
      <c r="X16" s="702" t="s">
        <v>1444</v>
      </c>
      <c r="Y16" s="60" t="s">
        <v>52</v>
      </c>
      <c r="Z16" s="66">
        <v>1</v>
      </c>
      <c r="AA16" s="695" t="s">
        <v>660</v>
      </c>
      <c r="AB16" s="724" t="s">
        <v>917</v>
      </c>
      <c r="AC16" s="691">
        <v>0</v>
      </c>
      <c r="AD16" s="706">
        <v>1</v>
      </c>
      <c r="AE16" s="693" t="s">
        <v>18</v>
      </c>
      <c r="AF16" s="693" t="s">
        <v>301</v>
      </c>
      <c r="AG16" s="693" t="s">
        <v>633</v>
      </c>
      <c r="AH16" s="693" t="s">
        <v>635</v>
      </c>
      <c r="AI16" s="693" t="s">
        <v>1055</v>
      </c>
      <c r="AJ16" s="693" t="s">
        <v>1278</v>
      </c>
      <c r="AK16" s="702" t="s">
        <v>1446</v>
      </c>
      <c r="AL16" s="693" t="s">
        <v>204</v>
      </c>
      <c r="AM16" s="66">
        <v>1</v>
      </c>
      <c r="AN16" s="693" t="str">
        <f t="shared" si="7"/>
        <v>Sensibilizar a la ciudadanía y partes interesadas sobre la rendición de cuentas y la importancia de su participación en los procesos, a través de medios electrónicos, con el fin de incentivarlos a participar en este proceso.</v>
      </c>
      <c r="AO16" s="703">
        <f t="shared" si="8"/>
        <v>0</v>
      </c>
      <c r="AP16" s="700" t="s">
        <v>48</v>
      </c>
      <c r="AQ16" s="66">
        <v>0</v>
      </c>
      <c r="AR16" s="693" t="str">
        <f t="shared" si="9"/>
        <v>Sensibilizar a la ciudadanía y partes interesadas sobre la rendición de cuentas y la importancia de su participación en los procesos, a través de medios electrónicos, con el fin de incentivarlos a participar en este proceso.</v>
      </c>
      <c r="AS16" s="691">
        <f t="shared" ref="AS16:AS18" si="31">+AO16/4</f>
        <v>0</v>
      </c>
      <c r="AT16" s="491">
        <v>0</v>
      </c>
      <c r="AU16" s="709">
        <v>0</v>
      </c>
      <c r="AV16" s="690" t="e">
        <f t="shared" si="0"/>
        <v>#DIV/0!</v>
      </c>
      <c r="AW16" s="690" t="e">
        <f t="shared" si="10"/>
        <v>#DIV/0!</v>
      </c>
      <c r="AX16" s="690">
        <f t="shared" si="1"/>
        <v>0</v>
      </c>
      <c r="AY16" s="690" t="e">
        <f t="shared" si="11"/>
        <v>#DIV/0!</v>
      </c>
      <c r="AZ16" s="490" t="s">
        <v>1354</v>
      </c>
      <c r="BA16" s="66">
        <v>0</v>
      </c>
      <c r="BB16" s="693" t="str">
        <f t="shared" si="12"/>
        <v>Sensibilizar a la ciudadanía y partes interesadas sobre la rendición de cuentas y la importancia de su participación en los procesos, a través de medios electrónicos, con el fin de incentivarlos a participar en este proceso.</v>
      </c>
      <c r="BC16" s="691">
        <f t="shared" ref="BC16:BC18" si="32">+AO16/4</f>
        <v>0</v>
      </c>
      <c r="BD16" s="716">
        <v>0</v>
      </c>
      <c r="BE16" s="691">
        <v>0</v>
      </c>
      <c r="BF16" s="690" t="e">
        <f t="shared" si="13"/>
        <v>#DIV/0!</v>
      </c>
      <c r="BG16" s="690" t="e">
        <f t="shared" si="14"/>
        <v>#DIV/0!</v>
      </c>
      <c r="BH16" s="690">
        <f t="shared" si="15"/>
        <v>0</v>
      </c>
      <c r="BI16" s="690" t="e">
        <f t="shared" si="16"/>
        <v>#DIV/0!</v>
      </c>
      <c r="BJ16" s="512" t="s">
        <v>1677</v>
      </c>
      <c r="BK16" s="66">
        <v>1</v>
      </c>
      <c r="BL16" s="693" t="str">
        <f t="shared" si="30"/>
        <v>Sensibilizar a la ciudadanía y partes interesadas sobre la rendición de cuentas y la importancia de su participación en los procesos, a través de medios electrónicos, con el fin de incentivarlos a participar en este proceso.</v>
      </c>
      <c r="BM16" s="691">
        <f t="shared" ref="BM16:BM18" si="33">+AO16/4</f>
        <v>0</v>
      </c>
      <c r="BN16" s="695"/>
      <c r="BO16" s="695"/>
      <c r="BP16" s="690">
        <f t="shared" si="17"/>
        <v>0</v>
      </c>
      <c r="BQ16" s="690" t="e">
        <f t="shared" si="18"/>
        <v>#DIV/0!</v>
      </c>
      <c r="BR16" s="690">
        <f t="shared" si="19"/>
        <v>0</v>
      </c>
      <c r="BS16" s="690" t="e">
        <f t="shared" si="20"/>
        <v>#DIV/0!</v>
      </c>
      <c r="BT16" s="690"/>
      <c r="BU16" s="66">
        <v>0</v>
      </c>
      <c r="BV16" s="693" t="str">
        <f t="shared" si="21"/>
        <v>Sensibilizar a la ciudadanía y partes interesadas sobre la rendición de cuentas y la importancia de su participación en los procesos, a través de medios electrónicos, con el fin de incentivarlos a participar en este proceso.</v>
      </c>
      <c r="BW16" s="691">
        <f t="shared" ref="BW16:BW18" si="34">+AO16/4</f>
        <v>0</v>
      </c>
      <c r="BX16" s="695"/>
      <c r="BY16" s="695"/>
      <c r="BZ16" s="698" t="e">
        <f t="shared" si="22"/>
        <v>#DIV/0!</v>
      </c>
      <c r="CA16" s="698" t="e">
        <f t="shared" si="23"/>
        <v>#DIV/0!</v>
      </c>
      <c r="CB16" s="698">
        <f t="shared" si="24"/>
        <v>0</v>
      </c>
      <c r="CC16" s="698" t="e">
        <f t="shared" si="25"/>
        <v>#DIV/0!</v>
      </c>
      <c r="CD16" s="698"/>
      <c r="CE16" s="697" t="str">
        <f t="shared" si="2"/>
        <v>No Prog ni Ejec</v>
      </c>
      <c r="CF16" s="697" t="str">
        <f t="shared" si="26"/>
        <v>No Prog ni Ejec</v>
      </c>
      <c r="CG16" s="697" t="str">
        <f t="shared" si="3"/>
        <v>No Prog ni Ejec</v>
      </c>
      <c r="CH16" s="697" t="str">
        <f t="shared" si="27"/>
        <v>No Prog ni Ejec</v>
      </c>
      <c r="CI16" s="697">
        <f t="shared" si="4"/>
        <v>0</v>
      </c>
      <c r="CJ16" s="697" t="str">
        <f t="shared" si="28"/>
        <v>No Prog ni Ejec</v>
      </c>
      <c r="CK16" s="697" t="str">
        <f t="shared" si="5"/>
        <v>No Prog ni Ejec</v>
      </c>
      <c r="CL16" s="786" t="str">
        <f t="shared" si="29"/>
        <v>No Prog ni Ejec</v>
      </c>
      <c r="CM16" s="136">
        <f t="shared" si="6"/>
        <v>0</v>
      </c>
      <c r="CR16" s="125">
        <v>1</v>
      </c>
      <c r="CS16" s="125"/>
      <c r="CT16" s="125"/>
      <c r="CU16" s="125"/>
      <c r="CV16" s="125"/>
      <c r="CW16" s="125"/>
      <c r="CX16" s="125"/>
      <c r="CY16" s="125"/>
      <c r="CZ16" s="125"/>
      <c r="DA16" s="125"/>
      <c r="DB16" s="125"/>
      <c r="DC16" s="125"/>
    </row>
    <row r="17" spans="1:101" s="70" customFormat="1" ht="132" hidden="1" customHeight="1" x14ac:dyDescent="0.2">
      <c r="A17" s="785">
        <v>11300</v>
      </c>
      <c r="B17" s="693" t="s">
        <v>1056</v>
      </c>
      <c r="C17" s="693" t="s">
        <v>330</v>
      </c>
      <c r="D17" s="693"/>
      <c r="E17" s="693" t="s">
        <v>1023</v>
      </c>
      <c r="F17" s="693"/>
      <c r="G17" s="693"/>
      <c r="H17" s="693"/>
      <c r="I17" s="693"/>
      <c r="J17" s="693"/>
      <c r="K17" s="693"/>
      <c r="L17" s="693"/>
      <c r="M17" s="693"/>
      <c r="N17" s="693"/>
      <c r="O17" s="693"/>
      <c r="P17" s="693"/>
      <c r="Q17" s="693" t="s">
        <v>204</v>
      </c>
      <c r="R17" s="693" t="s">
        <v>204</v>
      </c>
      <c r="S17" s="695" t="s">
        <v>1057</v>
      </c>
      <c r="T17" s="693" t="s">
        <v>94</v>
      </c>
      <c r="U17" s="693" t="s">
        <v>204</v>
      </c>
      <c r="V17" s="693" t="s">
        <v>204</v>
      </c>
      <c r="W17" s="130" t="s">
        <v>1058</v>
      </c>
      <c r="X17" s="693" t="s">
        <v>561</v>
      </c>
      <c r="Y17" s="716" t="s">
        <v>51</v>
      </c>
      <c r="Z17" s="698">
        <v>1</v>
      </c>
      <c r="AA17" s="130" t="s">
        <v>1059</v>
      </c>
      <c r="AB17" s="693" t="s">
        <v>1038</v>
      </c>
      <c r="AC17" s="691">
        <v>0</v>
      </c>
      <c r="AD17" s="706">
        <v>1</v>
      </c>
      <c r="AE17" s="693" t="s">
        <v>17</v>
      </c>
      <c r="AF17" s="693" t="s">
        <v>295</v>
      </c>
      <c r="AG17" s="693" t="s">
        <v>634</v>
      </c>
      <c r="AH17" s="693" t="s">
        <v>637</v>
      </c>
      <c r="AI17" s="693" t="s">
        <v>1045</v>
      </c>
      <c r="AJ17" s="693" t="s">
        <v>1291</v>
      </c>
      <c r="AK17" s="693" t="s">
        <v>560</v>
      </c>
      <c r="AL17" s="693" t="s">
        <v>204</v>
      </c>
      <c r="AM17" s="706">
        <v>1</v>
      </c>
      <c r="AN17" s="693" t="str">
        <f t="shared" si="7"/>
        <v>Implementar el SARL, SARC y SARM con los lineamientos establecidos en la Circular 006 de 2018</v>
      </c>
      <c r="AO17" s="703">
        <f t="shared" si="8"/>
        <v>0</v>
      </c>
      <c r="AP17" s="700" t="s">
        <v>48</v>
      </c>
      <c r="AQ17" s="706">
        <v>0</v>
      </c>
      <c r="AR17" s="693" t="str">
        <f t="shared" si="9"/>
        <v>Implementar el SARL, SARC y SARM con los lineamientos establecidos en la Circular 006 de 2018</v>
      </c>
      <c r="AS17" s="691">
        <f t="shared" si="31"/>
        <v>0</v>
      </c>
      <c r="AT17" s="491">
        <f>1*AQ17</f>
        <v>0</v>
      </c>
      <c r="AU17" s="709">
        <v>0</v>
      </c>
      <c r="AV17" s="690" t="e">
        <f t="shared" si="0"/>
        <v>#DIV/0!</v>
      </c>
      <c r="AW17" s="690" t="e">
        <f t="shared" si="10"/>
        <v>#DIV/0!</v>
      </c>
      <c r="AX17" s="690">
        <f t="shared" si="1"/>
        <v>0</v>
      </c>
      <c r="AY17" s="690" t="e">
        <f t="shared" si="11"/>
        <v>#DIV/0!</v>
      </c>
      <c r="AZ17" s="490" t="s">
        <v>1357</v>
      </c>
      <c r="BA17" s="706">
        <v>0</v>
      </c>
      <c r="BB17" s="693" t="str">
        <f t="shared" si="12"/>
        <v>Implementar el SARL, SARC y SARM con los lineamientos establecidos en la Circular 006 de 2018</v>
      </c>
      <c r="BC17" s="691">
        <f t="shared" si="32"/>
        <v>0</v>
      </c>
      <c r="BD17" s="515">
        <v>0</v>
      </c>
      <c r="BE17" s="709">
        <v>0</v>
      </c>
      <c r="BF17" s="690" t="e">
        <f t="shared" si="13"/>
        <v>#DIV/0!</v>
      </c>
      <c r="BG17" s="690" t="e">
        <f t="shared" si="14"/>
        <v>#DIV/0!</v>
      </c>
      <c r="BH17" s="690">
        <f t="shared" si="15"/>
        <v>0</v>
      </c>
      <c r="BI17" s="690" t="e">
        <f t="shared" si="16"/>
        <v>#DIV/0!</v>
      </c>
      <c r="BJ17" s="516" t="s">
        <v>1694</v>
      </c>
      <c r="BK17" s="698">
        <v>0.5</v>
      </c>
      <c r="BL17" s="693" t="str">
        <f t="shared" si="30"/>
        <v>Implementar el SARL, SARC y SARM con los lineamientos establecidos en la Circular 006 de 2018</v>
      </c>
      <c r="BM17" s="691">
        <f t="shared" si="33"/>
        <v>0</v>
      </c>
      <c r="BN17" s="695"/>
      <c r="BO17" s="695"/>
      <c r="BP17" s="690">
        <f t="shared" si="17"/>
        <v>0</v>
      </c>
      <c r="BQ17" s="690" t="e">
        <f t="shared" si="18"/>
        <v>#DIV/0!</v>
      </c>
      <c r="BR17" s="690">
        <f t="shared" si="19"/>
        <v>0</v>
      </c>
      <c r="BS17" s="690" t="e">
        <f t="shared" si="20"/>
        <v>#DIV/0!</v>
      </c>
      <c r="BT17" s="690"/>
      <c r="BU17" s="698">
        <v>0.5</v>
      </c>
      <c r="BV17" s="693" t="str">
        <f t="shared" si="21"/>
        <v>Implementar el SARL, SARC y SARM con los lineamientos establecidos en la Circular 006 de 2018</v>
      </c>
      <c r="BW17" s="691">
        <f t="shared" si="34"/>
        <v>0</v>
      </c>
      <c r="BX17" s="695"/>
      <c r="BY17" s="695"/>
      <c r="BZ17" s="698">
        <f t="shared" si="22"/>
        <v>0</v>
      </c>
      <c r="CA17" s="698" t="e">
        <f t="shared" si="23"/>
        <v>#DIV/0!</v>
      </c>
      <c r="CB17" s="698">
        <f t="shared" si="24"/>
        <v>0</v>
      </c>
      <c r="CC17" s="698" t="e">
        <f t="shared" si="25"/>
        <v>#DIV/0!</v>
      </c>
      <c r="CD17" s="698"/>
      <c r="CE17" s="697" t="str">
        <f t="shared" si="2"/>
        <v>No Prog ni Ejec</v>
      </c>
      <c r="CF17" s="697" t="str">
        <f t="shared" si="26"/>
        <v>No Prog ni Ejec</v>
      </c>
      <c r="CG17" s="697" t="str">
        <f t="shared" si="3"/>
        <v>No Prog ni Ejec</v>
      </c>
      <c r="CH17" s="697" t="str">
        <f t="shared" si="27"/>
        <v>No Prog ni Ejec</v>
      </c>
      <c r="CI17" s="697">
        <f t="shared" si="4"/>
        <v>0</v>
      </c>
      <c r="CJ17" s="697" t="str">
        <f t="shared" si="28"/>
        <v>No Prog ni Ejec</v>
      </c>
      <c r="CK17" s="697">
        <f t="shared" si="5"/>
        <v>0</v>
      </c>
      <c r="CL17" s="786" t="str">
        <f t="shared" si="29"/>
        <v>No Prog ni Ejec</v>
      </c>
      <c r="CM17" s="136">
        <f t="shared" si="6"/>
        <v>0</v>
      </c>
      <c r="CW17" s="125">
        <v>6</v>
      </c>
    </row>
    <row r="18" spans="1:101" s="70" customFormat="1" ht="99.75" hidden="1" customHeight="1" x14ac:dyDescent="0.2">
      <c r="A18" s="785">
        <v>11300</v>
      </c>
      <c r="B18" s="693" t="s">
        <v>2</v>
      </c>
      <c r="C18" s="693" t="s">
        <v>336</v>
      </c>
      <c r="D18" s="693" t="s">
        <v>1023</v>
      </c>
      <c r="E18" s="693"/>
      <c r="F18" s="693"/>
      <c r="G18" s="693"/>
      <c r="H18" s="693"/>
      <c r="I18" s="693"/>
      <c r="J18" s="693"/>
      <c r="K18" s="693"/>
      <c r="L18" s="693"/>
      <c r="M18" s="693"/>
      <c r="N18" s="693"/>
      <c r="O18" s="693"/>
      <c r="P18" s="693"/>
      <c r="Q18" s="693" t="s">
        <v>1134</v>
      </c>
      <c r="R18" s="693" t="s">
        <v>1140</v>
      </c>
      <c r="S18" s="695" t="s">
        <v>63</v>
      </c>
      <c r="T18" s="693" t="s">
        <v>94</v>
      </c>
      <c r="U18" s="693" t="s">
        <v>204</v>
      </c>
      <c r="V18" s="693" t="s">
        <v>204</v>
      </c>
      <c r="W18" s="695" t="s">
        <v>155</v>
      </c>
      <c r="X18" s="693" t="s">
        <v>1061</v>
      </c>
      <c r="Y18" s="716" t="s">
        <v>391</v>
      </c>
      <c r="Z18" s="66">
        <v>3</v>
      </c>
      <c r="AA18" s="695" t="s">
        <v>154</v>
      </c>
      <c r="AB18" s="693" t="s">
        <v>1060</v>
      </c>
      <c r="AC18" s="691">
        <v>0</v>
      </c>
      <c r="AD18" s="706">
        <v>1</v>
      </c>
      <c r="AE18" s="693" t="s">
        <v>17</v>
      </c>
      <c r="AF18" s="693" t="s">
        <v>295</v>
      </c>
      <c r="AG18" s="693" t="s">
        <v>204</v>
      </c>
      <c r="AH18" s="693" t="s">
        <v>638</v>
      </c>
      <c r="AI18" s="693" t="s">
        <v>1051</v>
      </c>
      <c r="AJ18" s="693" t="s">
        <v>1286</v>
      </c>
      <c r="AK18" s="693" t="s">
        <v>1062</v>
      </c>
      <c r="AL18" s="693" t="s">
        <v>204</v>
      </c>
      <c r="AM18" s="67">
        <v>3</v>
      </c>
      <c r="AN18" s="693" t="str">
        <f t="shared" si="7"/>
        <v>Realizar reuniones de autocontrol y seguimiento a los procesos que evidencien el monitoreo a los riesgos, indicadores, planes de mejoramiento, manuales y documentos asociados</v>
      </c>
      <c r="AO18" s="703">
        <f t="shared" si="8"/>
        <v>0</v>
      </c>
      <c r="AP18" s="700" t="s">
        <v>48</v>
      </c>
      <c r="AQ18" s="67">
        <v>0</v>
      </c>
      <c r="AR18" s="693" t="str">
        <f t="shared" si="9"/>
        <v>Realizar reuniones de autocontrol y seguimiento a los procesos que evidencien el monitoreo a los riesgos, indicadores, planes de mejoramiento, manuales y documentos asociados</v>
      </c>
      <c r="AS18" s="691">
        <f t="shared" si="31"/>
        <v>0</v>
      </c>
      <c r="AT18" s="494">
        <v>0</v>
      </c>
      <c r="AU18" s="709">
        <v>0</v>
      </c>
      <c r="AV18" s="690" t="e">
        <f t="shared" si="0"/>
        <v>#DIV/0!</v>
      </c>
      <c r="AW18" s="690" t="e">
        <f t="shared" si="10"/>
        <v>#DIV/0!</v>
      </c>
      <c r="AX18" s="690">
        <f t="shared" si="1"/>
        <v>0</v>
      </c>
      <c r="AY18" s="690" t="e">
        <f t="shared" si="11"/>
        <v>#DIV/0!</v>
      </c>
      <c r="AZ18" s="490" t="s">
        <v>1341</v>
      </c>
      <c r="BA18" s="67">
        <v>1</v>
      </c>
      <c r="BB18" s="693" t="str">
        <f t="shared" si="12"/>
        <v>Realizar reuniones de autocontrol y seguimiento a los procesos que evidencien el monitoreo a los riesgos, indicadores, planes de mejoramiento, manuales y documentos asociados</v>
      </c>
      <c r="BC18" s="691">
        <f t="shared" si="32"/>
        <v>0</v>
      </c>
      <c r="BD18" s="494">
        <v>1</v>
      </c>
      <c r="BE18" s="709">
        <v>0</v>
      </c>
      <c r="BF18" s="690">
        <f t="shared" si="13"/>
        <v>1</v>
      </c>
      <c r="BG18" s="690" t="e">
        <f t="shared" si="14"/>
        <v>#DIV/0!</v>
      </c>
      <c r="BH18" s="690">
        <f t="shared" si="15"/>
        <v>0.33333333333333331</v>
      </c>
      <c r="BI18" s="690" t="e">
        <f t="shared" si="16"/>
        <v>#DIV/0!</v>
      </c>
      <c r="BJ18" s="516" t="s">
        <v>1695</v>
      </c>
      <c r="BK18" s="67">
        <v>1</v>
      </c>
      <c r="BL18" s="693" t="str">
        <f t="shared" si="30"/>
        <v>Realizar reuniones de autocontrol y seguimiento a los procesos que evidencien el monitoreo a los riesgos, indicadores, planes de mejoramiento, manuales y documentos asociados</v>
      </c>
      <c r="BM18" s="691">
        <f t="shared" si="33"/>
        <v>0</v>
      </c>
      <c r="BN18" s="695"/>
      <c r="BO18" s="695"/>
      <c r="BP18" s="690">
        <f t="shared" si="17"/>
        <v>0</v>
      </c>
      <c r="BQ18" s="690" t="e">
        <f t="shared" si="18"/>
        <v>#DIV/0!</v>
      </c>
      <c r="BR18" s="690">
        <f t="shared" si="19"/>
        <v>0.33333333333333331</v>
      </c>
      <c r="BS18" s="690" t="e">
        <f t="shared" si="20"/>
        <v>#DIV/0!</v>
      </c>
      <c r="BT18" s="690"/>
      <c r="BU18" s="67">
        <v>1</v>
      </c>
      <c r="BV18" s="693" t="str">
        <f t="shared" si="21"/>
        <v>Realizar reuniones de autocontrol y seguimiento a los procesos que evidencien el monitoreo a los riesgos, indicadores, planes de mejoramiento, manuales y documentos asociados</v>
      </c>
      <c r="BW18" s="691">
        <f t="shared" si="34"/>
        <v>0</v>
      </c>
      <c r="BX18" s="695"/>
      <c r="BY18" s="695"/>
      <c r="BZ18" s="698">
        <f t="shared" si="22"/>
        <v>0</v>
      </c>
      <c r="CA18" s="698" t="e">
        <f t="shared" si="23"/>
        <v>#DIV/0!</v>
      </c>
      <c r="CB18" s="698">
        <f t="shared" si="24"/>
        <v>0.33333333333333331</v>
      </c>
      <c r="CC18" s="698" t="e">
        <f t="shared" si="25"/>
        <v>#DIV/0!</v>
      </c>
      <c r="CD18" s="698"/>
      <c r="CE18" s="697" t="str">
        <f t="shared" si="2"/>
        <v>No Prog ni Ejec</v>
      </c>
      <c r="CF18" s="697" t="str">
        <f t="shared" si="26"/>
        <v>No Prog ni Ejec</v>
      </c>
      <c r="CG18" s="697">
        <f t="shared" si="3"/>
        <v>1</v>
      </c>
      <c r="CH18" s="697" t="str">
        <f t="shared" si="27"/>
        <v>No Prog ni Ejec</v>
      </c>
      <c r="CI18" s="697">
        <f t="shared" si="4"/>
        <v>0</v>
      </c>
      <c r="CJ18" s="697" t="str">
        <f t="shared" si="28"/>
        <v>No Prog ni Ejec</v>
      </c>
      <c r="CK18" s="697">
        <f t="shared" si="5"/>
        <v>0</v>
      </c>
      <c r="CL18" s="786" t="str">
        <f t="shared" si="29"/>
        <v>No Prog ni Ejec</v>
      </c>
      <c r="CM18" s="136">
        <f t="shared" si="6"/>
        <v>0</v>
      </c>
      <c r="CW18" s="125"/>
    </row>
    <row r="19" spans="1:101" s="70" customFormat="1" ht="99" hidden="1" customHeight="1" x14ac:dyDescent="0.2">
      <c r="A19" s="785">
        <v>12000</v>
      </c>
      <c r="B19" s="693" t="s">
        <v>15</v>
      </c>
      <c r="C19" s="702" t="s">
        <v>336</v>
      </c>
      <c r="D19" s="748" t="s">
        <v>1023</v>
      </c>
      <c r="E19" s="693" t="s">
        <v>1023</v>
      </c>
      <c r="F19" s="693"/>
      <c r="G19" s="693"/>
      <c r="H19" s="693"/>
      <c r="I19" s="693"/>
      <c r="J19" s="693"/>
      <c r="K19" s="693"/>
      <c r="L19" s="693"/>
      <c r="M19" s="693"/>
      <c r="N19" s="693"/>
      <c r="O19" s="693"/>
      <c r="P19" s="693"/>
      <c r="Q19" s="702" t="s">
        <v>1757</v>
      </c>
      <c r="R19" s="693" t="s">
        <v>204</v>
      </c>
      <c r="S19" s="695" t="s">
        <v>53</v>
      </c>
      <c r="T19" s="693" t="s">
        <v>94</v>
      </c>
      <c r="U19" s="693" t="s">
        <v>204</v>
      </c>
      <c r="V19" s="693" t="s">
        <v>204</v>
      </c>
      <c r="W19" s="695" t="s">
        <v>58</v>
      </c>
      <c r="X19" s="693" t="s">
        <v>559</v>
      </c>
      <c r="Y19" s="716" t="s">
        <v>51</v>
      </c>
      <c r="Z19" s="698">
        <v>1</v>
      </c>
      <c r="AA19" s="695" t="s">
        <v>54</v>
      </c>
      <c r="AB19" s="693" t="s">
        <v>558</v>
      </c>
      <c r="AC19" s="647">
        <v>24000000</v>
      </c>
      <c r="AD19" s="706">
        <v>1</v>
      </c>
      <c r="AE19" s="693" t="s">
        <v>17</v>
      </c>
      <c r="AF19" s="693" t="s">
        <v>295</v>
      </c>
      <c r="AG19" s="693" t="s">
        <v>204</v>
      </c>
      <c r="AH19" s="693" t="s">
        <v>638</v>
      </c>
      <c r="AI19" s="693" t="s">
        <v>1045</v>
      </c>
      <c r="AJ19" s="693" t="s">
        <v>1291</v>
      </c>
      <c r="AK19" s="693" t="s">
        <v>560</v>
      </c>
      <c r="AL19" s="693" t="s">
        <v>204</v>
      </c>
      <c r="AM19" s="706">
        <v>1</v>
      </c>
      <c r="AN19" s="693" t="str">
        <f t="shared" si="7"/>
        <v>Implementar el SARLAFT</v>
      </c>
      <c r="AO19" s="647">
        <f t="shared" si="8"/>
        <v>24000000</v>
      </c>
      <c r="AP19" s="700" t="s">
        <v>48</v>
      </c>
      <c r="AQ19" s="698">
        <v>0.45</v>
      </c>
      <c r="AR19" s="693" t="str">
        <f t="shared" si="9"/>
        <v>Implementar el SARLAFT</v>
      </c>
      <c r="AS19" s="691">
        <v>0</v>
      </c>
      <c r="AT19" s="514">
        <f>(4/20)</f>
        <v>0.2</v>
      </c>
      <c r="AU19" s="708">
        <v>0</v>
      </c>
      <c r="AV19" s="690">
        <f t="shared" si="0"/>
        <v>0.44444444444444448</v>
      </c>
      <c r="AW19" s="690" t="e">
        <f t="shared" si="10"/>
        <v>#DIV/0!</v>
      </c>
      <c r="AX19" s="690">
        <f t="shared" si="1"/>
        <v>0.2</v>
      </c>
      <c r="AY19" s="690">
        <f t="shared" si="11"/>
        <v>0</v>
      </c>
      <c r="AZ19" s="693" t="s">
        <v>1769</v>
      </c>
      <c r="BA19" s="627">
        <v>0.2</v>
      </c>
      <c r="BB19" s="693" t="str">
        <f t="shared" si="12"/>
        <v>Implementar el SARLAFT</v>
      </c>
      <c r="BC19" s="691">
        <v>0</v>
      </c>
      <c r="BD19" s="514">
        <f>5/20</f>
        <v>0.25</v>
      </c>
      <c r="BE19" s="691">
        <v>0</v>
      </c>
      <c r="BF19" s="690">
        <f t="shared" si="13"/>
        <v>1.25</v>
      </c>
      <c r="BG19" s="690" t="e">
        <f>+(BE19/BC19)</f>
        <v>#DIV/0!</v>
      </c>
      <c r="BH19" s="690">
        <f t="shared" si="15"/>
        <v>0.45</v>
      </c>
      <c r="BI19" s="690">
        <f t="shared" si="16"/>
        <v>0</v>
      </c>
      <c r="BJ19" s="516" t="s">
        <v>1770</v>
      </c>
      <c r="BK19" s="627">
        <v>0.35</v>
      </c>
      <c r="BL19" s="693" t="str">
        <f t="shared" si="30"/>
        <v>Implementar el SARLAFT</v>
      </c>
      <c r="BM19" s="594">
        <v>12000000</v>
      </c>
      <c r="BN19" s="695"/>
      <c r="BO19" s="695"/>
      <c r="BP19" s="690">
        <f t="shared" si="17"/>
        <v>0</v>
      </c>
      <c r="BQ19" s="690">
        <f t="shared" si="18"/>
        <v>0</v>
      </c>
      <c r="BR19" s="690">
        <f t="shared" si="19"/>
        <v>0.45</v>
      </c>
      <c r="BS19" s="690">
        <f t="shared" si="20"/>
        <v>0</v>
      </c>
      <c r="BT19" s="690"/>
      <c r="BU19" s="698">
        <v>0</v>
      </c>
      <c r="BV19" s="693" t="str">
        <f t="shared" si="21"/>
        <v>Implementar el SARLAFT</v>
      </c>
      <c r="BW19" s="594">
        <v>12000000</v>
      </c>
      <c r="BX19" s="695"/>
      <c r="BY19" s="695"/>
      <c r="BZ19" s="698" t="e">
        <f t="shared" si="22"/>
        <v>#DIV/0!</v>
      </c>
      <c r="CA19" s="698">
        <f t="shared" si="23"/>
        <v>0</v>
      </c>
      <c r="CB19" s="698">
        <f t="shared" si="24"/>
        <v>0.45</v>
      </c>
      <c r="CC19" s="698">
        <f t="shared" si="25"/>
        <v>0</v>
      </c>
      <c r="CD19" s="698"/>
      <c r="CE19" s="697">
        <f t="shared" si="2"/>
        <v>0.44444444444444448</v>
      </c>
      <c r="CF19" s="697" t="str">
        <f t="shared" si="26"/>
        <v>No Prog ni Ejec</v>
      </c>
      <c r="CG19" s="697">
        <f t="shared" si="3"/>
        <v>1.25</v>
      </c>
      <c r="CH19" s="697" t="str">
        <f t="shared" si="27"/>
        <v>No Prog ni Ejec</v>
      </c>
      <c r="CI19" s="697">
        <f t="shared" si="4"/>
        <v>0</v>
      </c>
      <c r="CJ19" s="697">
        <f t="shared" si="28"/>
        <v>0</v>
      </c>
      <c r="CK19" s="697" t="str">
        <f t="shared" si="5"/>
        <v>No Prog ni Ejec</v>
      </c>
      <c r="CL19" s="786">
        <f t="shared" si="29"/>
        <v>0</v>
      </c>
      <c r="CM19" s="136">
        <f t="shared" si="6"/>
        <v>0</v>
      </c>
      <c r="CW19" s="125">
        <v>6</v>
      </c>
    </row>
    <row r="20" spans="1:101" s="70" customFormat="1" ht="114.75" hidden="1" customHeight="1" x14ac:dyDescent="0.2">
      <c r="A20" s="785">
        <v>12000</v>
      </c>
      <c r="B20" s="693" t="s">
        <v>15</v>
      </c>
      <c r="C20" s="693" t="s">
        <v>330</v>
      </c>
      <c r="D20" s="693"/>
      <c r="E20" s="693" t="s">
        <v>1023</v>
      </c>
      <c r="F20" s="693"/>
      <c r="G20" s="693"/>
      <c r="H20" s="693"/>
      <c r="I20" s="693"/>
      <c r="J20" s="693"/>
      <c r="K20" s="693"/>
      <c r="L20" s="693"/>
      <c r="M20" s="693"/>
      <c r="N20" s="693"/>
      <c r="O20" s="693"/>
      <c r="P20" s="693"/>
      <c r="Q20" s="693" t="s">
        <v>204</v>
      </c>
      <c r="R20" s="693" t="s">
        <v>204</v>
      </c>
      <c r="S20" s="695" t="s">
        <v>53</v>
      </c>
      <c r="T20" s="693" t="s">
        <v>94</v>
      </c>
      <c r="U20" s="693" t="s">
        <v>204</v>
      </c>
      <c r="V20" s="693" t="s">
        <v>204</v>
      </c>
      <c r="W20" s="695" t="s">
        <v>1063</v>
      </c>
      <c r="X20" s="693" t="s">
        <v>563</v>
      </c>
      <c r="Y20" s="716" t="s">
        <v>51</v>
      </c>
      <c r="Z20" s="698">
        <v>1</v>
      </c>
      <c r="AA20" s="695" t="s">
        <v>885</v>
      </c>
      <c r="AB20" s="693" t="s">
        <v>562</v>
      </c>
      <c r="AC20" s="647">
        <v>24000000</v>
      </c>
      <c r="AD20" s="706">
        <v>1</v>
      </c>
      <c r="AE20" s="693" t="s">
        <v>20</v>
      </c>
      <c r="AF20" s="693" t="s">
        <v>22</v>
      </c>
      <c r="AG20" s="693" t="s">
        <v>204</v>
      </c>
      <c r="AH20" s="693" t="s">
        <v>638</v>
      </c>
      <c r="AI20" s="693" t="s">
        <v>1051</v>
      </c>
      <c r="AJ20" s="693" t="s">
        <v>1291</v>
      </c>
      <c r="AK20" s="693" t="s">
        <v>560</v>
      </c>
      <c r="AL20" s="693" t="s">
        <v>204</v>
      </c>
      <c r="AM20" s="706">
        <v>1</v>
      </c>
      <c r="AN20" s="693" t="str">
        <f t="shared" si="7"/>
        <v>Apoyar la definición e implementación del Plan de Continuidad del Negocio</v>
      </c>
      <c r="AO20" s="647">
        <f t="shared" si="8"/>
        <v>24000000</v>
      </c>
      <c r="AP20" s="700" t="s">
        <v>48</v>
      </c>
      <c r="AQ20" s="698">
        <v>0.45</v>
      </c>
      <c r="AR20" s="693" t="str">
        <f t="shared" si="9"/>
        <v>Apoyar la definición e implementación del Plan de Continuidad del Negocio</v>
      </c>
      <c r="AS20" s="691">
        <v>0</v>
      </c>
      <c r="AT20" s="515">
        <v>0</v>
      </c>
      <c r="AU20" s="708">
        <v>0</v>
      </c>
      <c r="AV20" s="690">
        <f t="shared" si="0"/>
        <v>0</v>
      </c>
      <c r="AW20" s="690" t="e">
        <f t="shared" si="10"/>
        <v>#DIV/0!</v>
      </c>
      <c r="AX20" s="690">
        <f t="shared" si="1"/>
        <v>0</v>
      </c>
      <c r="AY20" s="690">
        <f t="shared" si="11"/>
        <v>0</v>
      </c>
      <c r="AZ20" s="512"/>
      <c r="BA20" s="627">
        <v>0.2</v>
      </c>
      <c r="BB20" s="693" t="str">
        <f t="shared" si="12"/>
        <v>Apoyar la definición e implementación del Plan de Continuidad del Negocio</v>
      </c>
      <c r="BC20" s="691">
        <v>0</v>
      </c>
      <c r="BD20" s="515">
        <f>8/14</f>
        <v>0.5714285714285714</v>
      </c>
      <c r="BE20" s="691">
        <v>0</v>
      </c>
      <c r="BF20" s="690">
        <f t="shared" si="13"/>
        <v>2.8571428571428568</v>
      </c>
      <c r="BG20" s="690" t="e">
        <f t="shared" si="14"/>
        <v>#DIV/0!</v>
      </c>
      <c r="BH20" s="690">
        <f t="shared" si="15"/>
        <v>0.5714285714285714</v>
      </c>
      <c r="BI20" s="690">
        <f t="shared" si="16"/>
        <v>0</v>
      </c>
      <c r="BJ20" s="516" t="s">
        <v>1705</v>
      </c>
      <c r="BK20" s="627">
        <v>0.35</v>
      </c>
      <c r="BL20" s="693" t="str">
        <f t="shared" si="30"/>
        <v>Apoyar la definición e implementación del Plan de Continuidad del Negocio</v>
      </c>
      <c r="BM20" s="594">
        <v>12000000</v>
      </c>
      <c r="BN20" s="695"/>
      <c r="BO20" s="695"/>
      <c r="BP20" s="690">
        <f t="shared" si="17"/>
        <v>0</v>
      </c>
      <c r="BQ20" s="690">
        <f t="shared" si="18"/>
        <v>0</v>
      </c>
      <c r="BR20" s="690">
        <f t="shared" si="19"/>
        <v>0.5714285714285714</v>
      </c>
      <c r="BS20" s="690">
        <f t="shared" si="20"/>
        <v>0</v>
      </c>
      <c r="BT20" s="690"/>
      <c r="BU20" s="698">
        <v>0</v>
      </c>
      <c r="BV20" s="693" t="str">
        <f t="shared" si="21"/>
        <v>Apoyar la definición e implementación del Plan de Continuidad del Negocio</v>
      </c>
      <c r="BW20" s="594">
        <v>12000000</v>
      </c>
      <c r="BX20" s="695"/>
      <c r="BY20" s="695"/>
      <c r="BZ20" s="698" t="e">
        <f t="shared" si="22"/>
        <v>#DIV/0!</v>
      </c>
      <c r="CA20" s="698">
        <f t="shared" si="23"/>
        <v>0</v>
      </c>
      <c r="CB20" s="698">
        <f t="shared" si="24"/>
        <v>0.5714285714285714</v>
      </c>
      <c r="CC20" s="698">
        <f t="shared" si="25"/>
        <v>0</v>
      </c>
      <c r="CD20" s="698"/>
      <c r="CE20" s="697">
        <f t="shared" si="2"/>
        <v>0</v>
      </c>
      <c r="CF20" s="697" t="str">
        <f t="shared" si="26"/>
        <v>No Prog ni Ejec</v>
      </c>
      <c r="CG20" s="697">
        <f t="shared" si="3"/>
        <v>2.8571428571428568</v>
      </c>
      <c r="CH20" s="697" t="str">
        <f t="shared" si="27"/>
        <v>No Prog ni Ejec</v>
      </c>
      <c r="CI20" s="697">
        <f t="shared" si="4"/>
        <v>0</v>
      </c>
      <c r="CJ20" s="697">
        <f t="shared" si="28"/>
        <v>0</v>
      </c>
      <c r="CK20" s="697" t="str">
        <f t="shared" si="5"/>
        <v>No Prog ni Ejec</v>
      </c>
      <c r="CL20" s="786">
        <f t="shared" si="29"/>
        <v>0</v>
      </c>
      <c r="CM20" s="136">
        <f t="shared" si="6"/>
        <v>0</v>
      </c>
      <c r="CW20" s="125">
        <v>6</v>
      </c>
    </row>
    <row r="21" spans="1:101" s="70" customFormat="1" ht="102.75" hidden="1" customHeight="1" x14ac:dyDescent="0.2">
      <c r="A21" s="785">
        <v>12000</v>
      </c>
      <c r="B21" s="693" t="s">
        <v>15</v>
      </c>
      <c r="C21" s="693" t="s">
        <v>330</v>
      </c>
      <c r="D21" s="693"/>
      <c r="E21" s="693" t="s">
        <v>1023</v>
      </c>
      <c r="F21" s="693"/>
      <c r="G21" s="693"/>
      <c r="H21" s="693"/>
      <c r="I21" s="693"/>
      <c r="J21" s="693"/>
      <c r="K21" s="693"/>
      <c r="L21" s="693"/>
      <c r="M21" s="693"/>
      <c r="N21" s="693"/>
      <c r="O21" s="693"/>
      <c r="P21" s="693"/>
      <c r="Q21" s="693" t="s">
        <v>204</v>
      </c>
      <c r="R21" s="693" t="s">
        <v>204</v>
      </c>
      <c r="S21" s="695" t="s">
        <v>53</v>
      </c>
      <c r="T21" s="693" t="s">
        <v>94</v>
      </c>
      <c r="U21" s="693" t="s">
        <v>204</v>
      </c>
      <c r="V21" s="693" t="s">
        <v>204</v>
      </c>
      <c r="W21" s="695" t="s">
        <v>888</v>
      </c>
      <c r="X21" s="693" t="s">
        <v>555</v>
      </c>
      <c r="Y21" s="716" t="s">
        <v>391</v>
      </c>
      <c r="Z21" s="66">
        <v>1</v>
      </c>
      <c r="AA21" s="695" t="s">
        <v>886</v>
      </c>
      <c r="AB21" s="693" t="s">
        <v>557</v>
      </c>
      <c r="AC21" s="647">
        <v>50000000</v>
      </c>
      <c r="AD21" s="706">
        <v>1</v>
      </c>
      <c r="AE21" s="693" t="s">
        <v>20</v>
      </c>
      <c r="AF21" s="693" t="s">
        <v>22</v>
      </c>
      <c r="AG21" s="693" t="s">
        <v>204</v>
      </c>
      <c r="AH21" s="693" t="s">
        <v>638</v>
      </c>
      <c r="AI21" s="693" t="s">
        <v>29</v>
      </c>
      <c r="AJ21" s="693" t="s">
        <v>1292</v>
      </c>
      <c r="AK21" s="693" t="s">
        <v>556</v>
      </c>
      <c r="AL21" s="693" t="s">
        <v>204</v>
      </c>
      <c r="AM21" s="706">
        <v>0.01</v>
      </c>
      <c r="AN21" s="693" t="str">
        <f t="shared" si="7"/>
        <v>Formular un plan estratégico cuatrienal de acuerdo con el Plan Nacional de Desarrollo vigente</v>
      </c>
      <c r="AO21" s="647">
        <f t="shared" si="8"/>
        <v>50000000</v>
      </c>
      <c r="AP21" s="700" t="s">
        <v>48</v>
      </c>
      <c r="AQ21" s="66">
        <v>0</v>
      </c>
      <c r="AR21" s="693" t="str">
        <f t="shared" si="9"/>
        <v>Formular un plan estratégico cuatrienal de acuerdo con el Plan Nacional de Desarrollo vigente</v>
      </c>
      <c r="AS21" s="691">
        <v>0</v>
      </c>
      <c r="AT21" s="716">
        <v>0</v>
      </c>
      <c r="AU21" s="708">
        <v>0</v>
      </c>
      <c r="AV21" s="690" t="e">
        <f t="shared" si="0"/>
        <v>#DIV/0!</v>
      </c>
      <c r="AW21" s="690" t="e">
        <f t="shared" si="10"/>
        <v>#DIV/0!</v>
      </c>
      <c r="AX21" s="690">
        <f t="shared" si="1"/>
        <v>0</v>
      </c>
      <c r="AY21" s="690">
        <f t="shared" si="11"/>
        <v>0</v>
      </c>
      <c r="AZ21" s="693" t="s">
        <v>1381</v>
      </c>
      <c r="BA21" s="66">
        <v>0</v>
      </c>
      <c r="BB21" s="693" t="str">
        <f t="shared" si="12"/>
        <v>Formular un plan estratégico cuatrienal de acuerdo con el Plan Nacional de Desarrollo vigente</v>
      </c>
      <c r="BC21" s="691">
        <v>0</v>
      </c>
      <c r="BD21" s="716">
        <v>0</v>
      </c>
      <c r="BE21" s="691">
        <v>0</v>
      </c>
      <c r="BF21" s="690" t="e">
        <f t="shared" si="13"/>
        <v>#DIV/0!</v>
      </c>
      <c r="BG21" s="690" t="e">
        <f t="shared" si="14"/>
        <v>#DIV/0!</v>
      </c>
      <c r="BH21" s="690">
        <f t="shared" si="15"/>
        <v>0</v>
      </c>
      <c r="BI21" s="690">
        <f t="shared" si="16"/>
        <v>0</v>
      </c>
      <c r="BJ21" s="512"/>
      <c r="BK21" s="66">
        <v>0</v>
      </c>
      <c r="BL21" s="693" t="str">
        <f t="shared" si="30"/>
        <v>Formular un plan estratégico cuatrienal de acuerdo con el Plan Nacional de Desarrollo vigente</v>
      </c>
      <c r="BM21" s="594">
        <v>30000000</v>
      </c>
      <c r="BN21" s="695"/>
      <c r="BO21" s="695"/>
      <c r="BP21" s="690" t="e">
        <f t="shared" si="17"/>
        <v>#DIV/0!</v>
      </c>
      <c r="BQ21" s="690">
        <f t="shared" si="18"/>
        <v>0</v>
      </c>
      <c r="BR21" s="690">
        <f t="shared" si="19"/>
        <v>0</v>
      </c>
      <c r="BS21" s="690">
        <f t="shared" si="20"/>
        <v>0</v>
      </c>
      <c r="BT21" s="690"/>
      <c r="BU21" s="66">
        <v>1</v>
      </c>
      <c r="BV21" s="693" t="str">
        <f t="shared" si="21"/>
        <v>Formular un plan estratégico cuatrienal de acuerdo con el Plan Nacional de Desarrollo vigente</v>
      </c>
      <c r="BW21" s="594">
        <v>20000000</v>
      </c>
      <c r="BX21" s="695"/>
      <c r="BY21" s="695"/>
      <c r="BZ21" s="698">
        <f t="shared" si="22"/>
        <v>0</v>
      </c>
      <c r="CA21" s="698">
        <f t="shared" si="23"/>
        <v>0</v>
      </c>
      <c r="CB21" s="698">
        <f t="shared" si="24"/>
        <v>0</v>
      </c>
      <c r="CC21" s="698">
        <f t="shared" si="25"/>
        <v>0</v>
      </c>
      <c r="CD21" s="698"/>
      <c r="CE21" s="697" t="str">
        <f t="shared" si="2"/>
        <v>No Prog ni Ejec</v>
      </c>
      <c r="CF21" s="697" t="str">
        <f t="shared" si="26"/>
        <v>No Prog ni Ejec</v>
      </c>
      <c r="CG21" s="697" t="str">
        <f t="shared" si="3"/>
        <v>No Prog ni Ejec</v>
      </c>
      <c r="CH21" s="697" t="str">
        <f t="shared" si="27"/>
        <v>No Prog ni Ejec</v>
      </c>
      <c r="CI21" s="697" t="str">
        <f t="shared" si="4"/>
        <v>No Prog ni Ejec</v>
      </c>
      <c r="CJ21" s="697">
        <f t="shared" si="28"/>
        <v>0</v>
      </c>
      <c r="CK21" s="697">
        <f t="shared" si="5"/>
        <v>0</v>
      </c>
      <c r="CL21" s="786">
        <f t="shared" si="29"/>
        <v>0</v>
      </c>
      <c r="CM21" s="136">
        <f t="shared" si="6"/>
        <v>0</v>
      </c>
      <c r="CW21" s="125">
        <v>6</v>
      </c>
    </row>
    <row r="22" spans="1:101" s="70" customFormat="1" ht="165.75" x14ac:dyDescent="0.2">
      <c r="A22" s="785">
        <v>11900</v>
      </c>
      <c r="B22" s="693" t="s">
        <v>125</v>
      </c>
      <c r="C22" s="693" t="s">
        <v>330</v>
      </c>
      <c r="D22" s="693"/>
      <c r="E22" s="693" t="s">
        <v>1023</v>
      </c>
      <c r="F22" s="693" t="s">
        <v>1023</v>
      </c>
      <c r="G22" s="693"/>
      <c r="H22" s="693"/>
      <c r="I22" s="693"/>
      <c r="J22" s="693"/>
      <c r="K22" s="693"/>
      <c r="L22" s="693"/>
      <c r="M22" s="693"/>
      <c r="N22" s="693"/>
      <c r="O22" s="693"/>
      <c r="P22" s="693"/>
      <c r="Q22" s="693" t="s">
        <v>204</v>
      </c>
      <c r="R22" s="693" t="s">
        <v>204</v>
      </c>
      <c r="S22" s="695" t="s">
        <v>126</v>
      </c>
      <c r="T22" s="693" t="s">
        <v>60</v>
      </c>
      <c r="U22" s="693" t="s">
        <v>204</v>
      </c>
      <c r="V22" s="693" t="s">
        <v>204</v>
      </c>
      <c r="W22" s="695" t="s">
        <v>597</v>
      </c>
      <c r="X22" s="693" t="s">
        <v>485</v>
      </c>
      <c r="Y22" s="716" t="s">
        <v>51</v>
      </c>
      <c r="Z22" s="698">
        <v>1</v>
      </c>
      <c r="AA22" s="695" t="s">
        <v>596</v>
      </c>
      <c r="AB22" s="693" t="s">
        <v>1417</v>
      </c>
      <c r="AC22" s="701">
        <v>265626000</v>
      </c>
      <c r="AD22" s="706">
        <v>1</v>
      </c>
      <c r="AE22" s="693" t="s">
        <v>17</v>
      </c>
      <c r="AF22" s="693" t="s">
        <v>28</v>
      </c>
      <c r="AG22" s="693" t="s">
        <v>204</v>
      </c>
      <c r="AH22" s="693" t="s">
        <v>638</v>
      </c>
      <c r="AI22" s="693" t="s">
        <v>1039</v>
      </c>
      <c r="AJ22" s="693" t="s">
        <v>1293</v>
      </c>
      <c r="AK22" s="702" t="s">
        <v>1547</v>
      </c>
      <c r="AL22" s="693" t="s">
        <v>204</v>
      </c>
      <c r="AM22" s="706">
        <v>1</v>
      </c>
      <c r="AN22" s="693"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703">
        <f t="shared" si="8"/>
        <v>265626000</v>
      </c>
      <c r="AP22" s="700" t="s">
        <v>46</v>
      </c>
      <c r="AQ22" s="698">
        <v>0</v>
      </c>
      <c r="AR22" s="693"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691">
        <v>0</v>
      </c>
      <c r="AT22" s="710" t="e">
        <f>+AU22/AS22</f>
        <v>#DIV/0!</v>
      </c>
      <c r="AU22" s="558">
        <v>20626000</v>
      </c>
      <c r="AV22" s="690" t="e">
        <f t="shared" si="0"/>
        <v>#DIV/0!</v>
      </c>
      <c r="AW22" s="690" t="e">
        <f t="shared" si="10"/>
        <v>#DIV/0!</v>
      </c>
      <c r="AX22" s="690" t="e">
        <f t="shared" si="1"/>
        <v>#DIV/0!</v>
      </c>
      <c r="AY22" s="690">
        <f t="shared" si="11"/>
        <v>7.7650531198000194E-2</v>
      </c>
      <c r="AZ22" s="486" t="s">
        <v>1398</v>
      </c>
      <c r="BA22" s="698">
        <v>0</v>
      </c>
      <c r="BB22" s="693"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691">
        <v>0</v>
      </c>
      <c r="BD22" s="515">
        <f>(4/4*25%)</f>
        <v>0.25</v>
      </c>
      <c r="BE22" s="691">
        <v>110000000</v>
      </c>
      <c r="BF22" s="690" t="e">
        <f t="shared" si="13"/>
        <v>#DIV/0!</v>
      </c>
      <c r="BG22" s="690" t="e">
        <f t="shared" si="14"/>
        <v>#DIV/0!</v>
      </c>
      <c r="BH22" s="690" t="e">
        <f t="shared" si="15"/>
        <v>#DIV/0!</v>
      </c>
      <c r="BI22" s="690">
        <f t="shared" si="16"/>
        <v>0.49176661923155113</v>
      </c>
      <c r="BJ22" s="512" t="s">
        <v>1731</v>
      </c>
      <c r="BK22" s="627">
        <v>0</v>
      </c>
      <c r="BL22" s="693"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691">
        <f>+AO22*BK22</f>
        <v>0</v>
      </c>
      <c r="BN22" s="695"/>
      <c r="BO22" s="695"/>
      <c r="BP22" s="690" t="e">
        <f t="shared" si="17"/>
        <v>#DIV/0!</v>
      </c>
      <c r="BQ22" s="690" t="e">
        <f t="shared" si="18"/>
        <v>#DIV/0!</v>
      </c>
      <c r="BR22" s="690" t="e">
        <f t="shared" si="19"/>
        <v>#DIV/0!</v>
      </c>
      <c r="BS22" s="690">
        <f t="shared" si="20"/>
        <v>0.49176661923155113</v>
      </c>
      <c r="BT22" s="690"/>
      <c r="BU22" s="627">
        <v>1</v>
      </c>
      <c r="BV22" s="693"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691">
        <f>+AO22*BU22</f>
        <v>265626000</v>
      </c>
      <c r="BX22" s="695"/>
      <c r="BY22" s="695"/>
      <c r="BZ22" s="698">
        <f t="shared" si="22"/>
        <v>0</v>
      </c>
      <c r="CA22" s="698">
        <f t="shared" si="23"/>
        <v>0</v>
      </c>
      <c r="CB22" s="698" t="e">
        <f t="shared" si="24"/>
        <v>#DIV/0!</v>
      </c>
      <c r="CC22" s="698">
        <f t="shared" si="25"/>
        <v>0.49176661923155113</v>
      </c>
      <c r="CD22" s="698"/>
      <c r="CE22" s="697" t="e">
        <f t="shared" si="2"/>
        <v>#DIV/0!</v>
      </c>
      <c r="CF22" s="697" t="str">
        <f t="shared" si="26"/>
        <v>No Prog, Ejec=  20626000</v>
      </c>
      <c r="CG22" s="697" t="str">
        <f t="shared" si="3"/>
        <v>No Prog, Ejec=  0,25</v>
      </c>
      <c r="CH22" s="697" t="str">
        <f t="shared" si="27"/>
        <v>No Prog, Ejec=  110000000</v>
      </c>
      <c r="CI22" s="697" t="str">
        <f t="shared" si="4"/>
        <v>No Prog ni Ejec</v>
      </c>
      <c r="CJ22" s="697" t="str">
        <f t="shared" si="28"/>
        <v>No Prog ni Ejec</v>
      </c>
      <c r="CK22" s="697">
        <f t="shared" si="5"/>
        <v>0</v>
      </c>
      <c r="CL22" s="786">
        <f t="shared" si="29"/>
        <v>0</v>
      </c>
      <c r="CM22" s="136">
        <f t="shared" si="6"/>
        <v>0</v>
      </c>
      <c r="CW22" s="125">
        <v>6</v>
      </c>
    </row>
    <row r="23" spans="1:101" s="70" customFormat="1" ht="127.5" x14ac:dyDescent="0.2">
      <c r="A23" s="785">
        <v>11900</v>
      </c>
      <c r="B23" s="693" t="s">
        <v>125</v>
      </c>
      <c r="C23" s="693" t="s">
        <v>330</v>
      </c>
      <c r="D23" s="693"/>
      <c r="E23" s="693" t="s">
        <v>1023</v>
      </c>
      <c r="F23" s="693" t="s">
        <v>1023</v>
      </c>
      <c r="G23" s="693"/>
      <c r="H23" s="693"/>
      <c r="I23" s="693"/>
      <c r="J23" s="693"/>
      <c r="K23" s="693"/>
      <c r="L23" s="693"/>
      <c r="M23" s="693"/>
      <c r="N23" s="693"/>
      <c r="O23" s="693"/>
      <c r="P23" s="693"/>
      <c r="Q23" s="693" t="s">
        <v>204</v>
      </c>
      <c r="R23" s="693" t="s">
        <v>204</v>
      </c>
      <c r="S23" s="695" t="s">
        <v>126</v>
      </c>
      <c r="T23" s="693" t="s">
        <v>60</v>
      </c>
      <c r="U23" s="693" t="s">
        <v>204</v>
      </c>
      <c r="V23" s="693" t="s">
        <v>204</v>
      </c>
      <c r="W23" s="695" t="s">
        <v>601</v>
      </c>
      <c r="X23" s="693" t="s">
        <v>490</v>
      </c>
      <c r="Y23" s="716" t="s">
        <v>51</v>
      </c>
      <c r="Z23" s="698">
        <v>1</v>
      </c>
      <c r="AA23" s="695" t="s">
        <v>600</v>
      </c>
      <c r="AB23" s="700" t="s">
        <v>894</v>
      </c>
      <c r="AC23" s="701">
        <f>61642068+100000000</f>
        <v>161642068</v>
      </c>
      <c r="AD23" s="706">
        <v>1</v>
      </c>
      <c r="AE23" s="693" t="s">
        <v>17</v>
      </c>
      <c r="AF23" s="693" t="s">
        <v>28</v>
      </c>
      <c r="AG23" s="693" t="s">
        <v>204</v>
      </c>
      <c r="AH23" s="693" t="s">
        <v>638</v>
      </c>
      <c r="AI23" s="693" t="s">
        <v>1039</v>
      </c>
      <c r="AJ23" s="693" t="s">
        <v>1293</v>
      </c>
      <c r="AK23" s="702" t="s">
        <v>1562</v>
      </c>
      <c r="AL23" s="693" t="s">
        <v>204</v>
      </c>
      <c r="AM23" s="706">
        <v>1</v>
      </c>
      <c r="AN23" s="693"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703">
        <f t="shared" si="8"/>
        <v>161642068</v>
      </c>
      <c r="AP23" s="700" t="s">
        <v>46</v>
      </c>
      <c r="AQ23" s="698">
        <v>0.25</v>
      </c>
      <c r="AR23" s="693"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691">
        <f>+AO23/4</f>
        <v>40410517</v>
      </c>
      <c r="AT23" s="559">
        <f>(10/13)*(25/100)</f>
        <v>0.19230769230769232</v>
      </c>
      <c r="AU23" s="691">
        <v>11472273</v>
      </c>
      <c r="AV23" s="690">
        <f t="shared" si="0"/>
        <v>0.76923076923076927</v>
      </c>
      <c r="AW23" s="690">
        <f t="shared" si="10"/>
        <v>0.28389324986859238</v>
      </c>
      <c r="AX23" s="690">
        <f t="shared" si="1"/>
        <v>0.19230769230769232</v>
      </c>
      <c r="AY23" s="690">
        <f t="shared" si="11"/>
        <v>7.0973312467148095E-2</v>
      </c>
      <c r="AZ23" s="560" t="s">
        <v>1399</v>
      </c>
      <c r="BA23" s="698">
        <v>0.25</v>
      </c>
      <c r="BB23" s="693"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691">
        <f>+AO23/4</f>
        <v>40410517</v>
      </c>
      <c r="BD23" s="519">
        <f>(12/14*25%)</f>
        <v>0.21428571428571427</v>
      </c>
      <c r="BE23" s="691">
        <v>15410517</v>
      </c>
      <c r="BF23" s="690">
        <f t="shared" si="13"/>
        <v>0.8571428571428571</v>
      </c>
      <c r="BG23" s="690">
        <f t="shared" si="14"/>
        <v>0.38134916709924793</v>
      </c>
      <c r="BH23" s="690">
        <f t="shared" si="15"/>
        <v>0.40659340659340659</v>
      </c>
      <c r="BI23" s="690">
        <f t="shared" si="16"/>
        <v>0.16631060424196009</v>
      </c>
      <c r="BJ23" s="512"/>
      <c r="BK23" s="698">
        <v>0.25</v>
      </c>
      <c r="BL23" s="693"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691">
        <f>+AO23/4</f>
        <v>40410517</v>
      </c>
      <c r="BN23" s="695"/>
      <c r="BO23" s="695"/>
      <c r="BP23" s="690">
        <f t="shared" si="17"/>
        <v>0</v>
      </c>
      <c r="BQ23" s="690">
        <f t="shared" si="18"/>
        <v>0</v>
      </c>
      <c r="BR23" s="690">
        <f t="shared" si="19"/>
        <v>0.40659340659340659</v>
      </c>
      <c r="BS23" s="690">
        <f t="shared" si="20"/>
        <v>0.16631060424196009</v>
      </c>
      <c r="BT23" s="690"/>
      <c r="BU23" s="698">
        <v>0.25</v>
      </c>
      <c r="BV23" s="693"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691">
        <f>+AO23/4</f>
        <v>40410517</v>
      </c>
      <c r="BX23" s="695"/>
      <c r="BY23" s="695"/>
      <c r="BZ23" s="698">
        <f t="shared" si="22"/>
        <v>0</v>
      </c>
      <c r="CA23" s="698">
        <f t="shared" si="23"/>
        <v>0</v>
      </c>
      <c r="CB23" s="698">
        <f t="shared" si="24"/>
        <v>0.40659340659340659</v>
      </c>
      <c r="CC23" s="698">
        <f t="shared" si="25"/>
        <v>0.16631060424196009</v>
      </c>
      <c r="CD23" s="698"/>
      <c r="CE23" s="697">
        <f t="shared" si="2"/>
        <v>0.76923076923076927</v>
      </c>
      <c r="CF23" s="697">
        <f t="shared" si="26"/>
        <v>0.28389324986859238</v>
      </c>
      <c r="CG23" s="697">
        <f t="shared" si="3"/>
        <v>0.8571428571428571</v>
      </c>
      <c r="CH23" s="697">
        <f t="shared" si="27"/>
        <v>0.38134916709924793</v>
      </c>
      <c r="CI23" s="697">
        <f t="shared" si="4"/>
        <v>0</v>
      </c>
      <c r="CJ23" s="697">
        <f t="shared" si="28"/>
        <v>0</v>
      </c>
      <c r="CK23" s="697">
        <f t="shared" si="5"/>
        <v>0</v>
      </c>
      <c r="CL23" s="786">
        <f t="shared" si="29"/>
        <v>0</v>
      </c>
      <c r="CM23" s="136">
        <f t="shared" si="6"/>
        <v>0</v>
      </c>
      <c r="CW23" s="125">
        <v>6</v>
      </c>
    </row>
    <row r="24" spans="1:101" s="70" customFormat="1" ht="127.5" x14ac:dyDescent="0.2">
      <c r="A24" s="785">
        <v>11900</v>
      </c>
      <c r="B24" s="693" t="s">
        <v>125</v>
      </c>
      <c r="C24" s="693" t="s">
        <v>330</v>
      </c>
      <c r="D24" s="693"/>
      <c r="E24" s="693" t="s">
        <v>1023</v>
      </c>
      <c r="F24" s="693" t="s">
        <v>1023</v>
      </c>
      <c r="G24" s="693"/>
      <c r="H24" s="693"/>
      <c r="I24" s="693"/>
      <c r="J24" s="693"/>
      <c r="K24" s="693"/>
      <c r="L24" s="693"/>
      <c r="M24" s="693"/>
      <c r="N24" s="693"/>
      <c r="O24" s="693"/>
      <c r="P24" s="693"/>
      <c r="Q24" s="693" t="s">
        <v>204</v>
      </c>
      <c r="R24" s="693" t="s">
        <v>204</v>
      </c>
      <c r="S24" s="695" t="s">
        <v>126</v>
      </c>
      <c r="T24" s="693" t="s">
        <v>60</v>
      </c>
      <c r="U24" s="693" t="s">
        <v>204</v>
      </c>
      <c r="V24" s="693" t="s">
        <v>204</v>
      </c>
      <c r="W24" s="695" t="s">
        <v>656</v>
      </c>
      <c r="X24" s="693" t="s">
        <v>439</v>
      </c>
      <c r="Y24" s="716" t="s">
        <v>169</v>
      </c>
      <c r="Z24" s="698">
        <v>1</v>
      </c>
      <c r="AA24" s="695" t="s">
        <v>128</v>
      </c>
      <c r="AB24" s="693" t="s">
        <v>438</v>
      </c>
      <c r="AC24" s="701">
        <v>150000000</v>
      </c>
      <c r="AD24" s="706">
        <v>1</v>
      </c>
      <c r="AE24" s="693" t="s">
        <v>17</v>
      </c>
      <c r="AF24" s="693" t="s">
        <v>28</v>
      </c>
      <c r="AG24" s="693" t="s">
        <v>204</v>
      </c>
      <c r="AH24" s="693" t="s">
        <v>638</v>
      </c>
      <c r="AI24" s="693" t="s">
        <v>1039</v>
      </c>
      <c r="AJ24" s="693" t="s">
        <v>1293</v>
      </c>
      <c r="AK24" s="702" t="s">
        <v>1549</v>
      </c>
      <c r="AL24" s="693" t="s">
        <v>204</v>
      </c>
      <c r="AM24" s="706">
        <v>1</v>
      </c>
      <c r="AN24" s="693"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703">
        <f t="shared" si="8"/>
        <v>150000000</v>
      </c>
      <c r="AP24" s="700" t="s">
        <v>46</v>
      </c>
      <c r="AQ24" s="698">
        <v>0.25</v>
      </c>
      <c r="AR24" s="693"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691">
        <f>+AO24/4</f>
        <v>37500000</v>
      </c>
      <c r="AT24" s="706">
        <v>0</v>
      </c>
      <c r="AU24" s="691">
        <v>0</v>
      </c>
      <c r="AV24" s="690">
        <f t="shared" si="0"/>
        <v>0</v>
      </c>
      <c r="AW24" s="690">
        <f t="shared" si="10"/>
        <v>0</v>
      </c>
      <c r="AX24" s="690">
        <f t="shared" si="1"/>
        <v>0</v>
      </c>
      <c r="AY24" s="690">
        <f t="shared" si="11"/>
        <v>0</v>
      </c>
      <c r="AZ24" s="561" t="s">
        <v>1400</v>
      </c>
      <c r="BA24" s="698">
        <v>0.25</v>
      </c>
      <c r="BB24" s="693"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691">
        <f>+AO24/4</f>
        <v>37500000</v>
      </c>
      <c r="BD24" s="514" t="s">
        <v>204</v>
      </c>
      <c r="BE24" s="691">
        <v>0</v>
      </c>
      <c r="BF24" s="690" t="e">
        <f>+(BD24/BA24)</f>
        <v>#VALUE!</v>
      </c>
      <c r="BG24" s="690">
        <f t="shared" si="14"/>
        <v>0</v>
      </c>
      <c r="BH24" s="690">
        <f>+(AT24)/AM24</f>
        <v>0</v>
      </c>
      <c r="BI24" s="690">
        <f t="shared" si="16"/>
        <v>0</v>
      </c>
      <c r="BJ24" s="512" t="s">
        <v>1732</v>
      </c>
      <c r="BK24" s="698">
        <v>0.25</v>
      </c>
      <c r="BL24" s="693"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691">
        <f>+AO24/4</f>
        <v>37500000</v>
      </c>
      <c r="BN24" s="695"/>
      <c r="BO24" s="695"/>
      <c r="BP24" s="690">
        <f t="shared" si="17"/>
        <v>0</v>
      </c>
      <c r="BQ24" s="690">
        <f t="shared" si="18"/>
        <v>0</v>
      </c>
      <c r="BR24" s="690" t="e">
        <f t="shared" si="19"/>
        <v>#VALUE!</v>
      </c>
      <c r="BS24" s="690">
        <f t="shared" si="20"/>
        <v>0</v>
      </c>
      <c r="BT24" s="690"/>
      <c r="BU24" s="698">
        <v>0.25</v>
      </c>
      <c r="BV24" s="693"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691">
        <f>+AO24/4</f>
        <v>37500000</v>
      </c>
      <c r="BX24" s="695"/>
      <c r="BY24" s="695"/>
      <c r="BZ24" s="698">
        <f t="shared" si="22"/>
        <v>0</v>
      </c>
      <c r="CA24" s="698">
        <f t="shared" si="23"/>
        <v>0</v>
      </c>
      <c r="CB24" s="698" t="e">
        <f t="shared" si="24"/>
        <v>#VALUE!</v>
      </c>
      <c r="CC24" s="698">
        <f t="shared" si="25"/>
        <v>0</v>
      </c>
      <c r="CD24" s="698"/>
      <c r="CE24" s="697">
        <f t="shared" si="2"/>
        <v>0</v>
      </c>
      <c r="CF24" s="697">
        <f t="shared" si="26"/>
        <v>0</v>
      </c>
      <c r="CG24" s="697" t="e">
        <f t="shared" si="3"/>
        <v>#VALUE!</v>
      </c>
      <c r="CH24" s="697">
        <f t="shared" si="27"/>
        <v>0</v>
      </c>
      <c r="CI24" s="697">
        <f t="shared" si="4"/>
        <v>0</v>
      </c>
      <c r="CJ24" s="697">
        <f t="shared" si="28"/>
        <v>0</v>
      </c>
      <c r="CK24" s="697">
        <f t="shared" si="5"/>
        <v>0</v>
      </c>
      <c r="CL24" s="786">
        <f t="shared" si="29"/>
        <v>0</v>
      </c>
      <c r="CM24" s="136">
        <f t="shared" si="6"/>
        <v>0</v>
      </c>
      <c r="CW24" s="125">
        <v>6</v>
      </c>
    </row>
    <row r="25" spans="1:101" s="70" customFormat="1" ht="369.75" x14ac:dyDescent="0.2">
      <c r="A25" s="785">
        <v>11900</v>
      </c>
      <c r="B25" s="693" t="s">
        <v>125</v>
      </c>
      <c r="C25" s="693" t="s">
        <v>330</v>
      </c>
      <c r="D25" s="693"/>
      <c r="E25" s="693" t="s">
        <v>1023</v>
      </c>
      <c r="F25" s="693" t="s">
        <v>1023</v>
      </c>
      <c r="G25" s="693"/>
      <c r="H25" s="693"/>
      <c r="I25" s="693"/>
      <c r="J25" s="693"/>
      <c r="K25" s="693"/>
      <c r="L25" s="693"/>
      <c r="M25" s="693"/>
      <c r="N25" s="693"/>
      <c r="O25" s="693"/>
      <c r="P25" s="693"/>
      <c r="Q25" s="693" t="s">
        <v>204</v>
      </c>
      <c r="R25" s="693" t="s">
        <v>204</v>
      </c>
      <c r="S25" s="695" t="s">
        <v>126</v>
      </c>
      <c r="T25" s="693" t="s">
        <v>60</v>
      </c>
      <c r="U25" s="693" t="s">
        <v>204</v>
      </c>
      <c r="V25" s="693" t="s">
        <v>204</v>
      </c>
      <c r="W25" s="695" t="s">
        <v>623</v>
      </c>
      <c r="X25" s="693" t="s">
        <v>177</v>
      </c>
      <c r="Y25" s="716" t="s">
        <v>51</v>
      </c>
      <c r="Z25" s="698">
        <v>1</v>
      </c>
      <c r="AA25" s="695" t="s">
        <v>618</v>
      </c>
      <c r="AB25" s="700" t="s">
        <v>892</v>
      </c>
      <c r="AC25" s="701">
        <v>180000000</v>
      </c>
      <c r="AD25" s="706">
        <v>1</v>
      </c>
      <c r="AE25" s="693" t="s">
        <v>17</v>
      </c>
      <c r="AF25" s="693" t="s">
        <v>28</v>
      </c>
      <c r="AG25" s="693" t="s">
        <v>204</v>
      </c>
      <c r="AH25" s="693" t="s">
        <v>638</v>
      </c>
      <c r="AI25" s="693" t="s">
        <v>1039</v>
      </c>
      <c r="AJ25" s="693" t="s">
        <v>1293</v>
      </c>
      <c r="AK25" s="702" t="s">
        <v>1551</v>
      </c>
      <c r="AL25" s="693" t="s">
        <v>204</v>
      </c>
      <c r="AM25" s="706">
        <v>1</v>
      </c>
      <c r="AN25" s="693" t="str">
        <f>+AB25</f>
        <v>Realizar vigilancia judicial y radicación de documentos en cada uno de los procesos que cursan en los despachos judiciales en contra de ADRES</v>
      </c>
      <c r="AO25" s="703">
        <f t="shared" si="8"/>
        <v>180000000</v>
      </c>
      <c r="AP25" s="700" t="s">
        <v>46</v>
      </c>
      <c r="AQ25" s="698">
        <v>0.25</v>
      </c>
      <c r="AR25" s="693" t="str">
        <f t="shared" si="9"/>
        <v>Realizar vigilancia judicial y radicación de documentos en cada uno de los procesos que cursan en los despachos judiciales en contra de ADRES</v>
      </c>
      <c r="AS25" s="691">
        <f>+AO25/4</f>
        <v>45000000</v>
      </c>
      <c r="AT25" s="706">
        <v>0</v>
      </c>
      <c r="AU25" s="558">
        <v>0</v>
      </c>
      <c r="AV25" s="690">
        <f t="shared" si="0"/>
        <v>0</v>
      </c>
      <c r="AW25" s="690">
        <f t="shared" si="10"/>
        <v>0</v>
      </c>
      <c r="AX25" s="690">
        <f t="shared" si="1"/>
        <v>0</v>
      </c>
      <c r="AY25" s="690">
        <f t="shared" si="11"/>
        <v>0</v>
      </c>
      <c r="AZ25" s="561" t="s">
        <v>1401</v>
      </c>
      <c r="BA25" s="698">
        <v>0.25</v>
      </c>
      <c r="BB25" s="693" t="str">
        <f t="shared" si="12"/>
        <v>Realizar vigilancia judicial y radicación de documentos en cada uno de los procesos que cursan en los despachos judiciales en contra de ADRES</v>
      </c>
      <c r="BC25" s="691">
        <f>+AO25/4</f>
        <v>45000000</v>
      </c>
      <c r="BD25" s="515">
        <f>(1753/1753*25%)</f>
        <v>0.25</v>
      </c>
      <c r="BE25" s="691">
        <v>42821257.710000001</v>
      </c>
      <c r="BF25" s="690">
        <f t="shared" si="13"/>
        <v>1</v>
      </c>
      <c r="BG25" s="690">
        <f t="shared" si="14"/>
        <v>0.95158350466666664</v>
      </c>
      <c r="BH25" s="690">
        <f t="shared" si="15"/>
        <v>0.25</v>
      </c>
      <c r="BI25" s="690">
        <f t="shared" si="16"/>
        <v>0.23789587616666666</v>
      </c>
      <c r="BJ25" s="516" t="s">
        <v>1733</v>
      </c>
      <c r="BK25" s="698">
        <v>0.25</v>
      </c>
      <c r="BL25" s="693" t="str">
        <f t="shared" si="30"/>
        <v>Realizar vigilancia judicial y radicación de documentos en cada uno de los procesos que cursan en los despachos judiciales en contra de ADRES</v>
      </c>
      <c r="BM25" s="691">
        <f>+AO25/4</f>
        <v>45000000</v>
      </c>
      <c r="BN25" s="695"/>
      <c r="BO25" s="695"/>
      <c r="BP25" s="690">
        <f t="shared" si="17"/>
        <v>0</v>
      </c>
      <c r="BQ25" s="690">
        <f t="shared" si="18"/>
        <v>0</v>
      </c>
      <c r="BR25" s="690">
        <f t="shared" si="19"/>
        <v>0.25</v>
      </c>
      <c r="BS25" s="690">
        <f t="shared" si="20"/>
        <v>0.23789587616666666</v>
      </c>
      <c r="BT25" s="690"/>
      <c r="BU25" s="698">
        <v>0.25</v>
      </c>
      <c r="BV25" s="693" t="str">
        <f t="shared" si="21"/>
        <v>Realizar vigilancia judicial y radicación de documentos en cada uno de los procesos que cursan en los despachos judiciales en contra de ADRES</v>
      </c>
      <c r="BW25" s="691">
        <f>+AO25/4</f>
        <v>45000000</v>
      </c>
      <c r="BX25" s="695"/>
      <c r="BY25" s="695"/>
      <c r="BZ25" s="698">
        <f t="shared" si="22"/>
        <v>0</v>
      </c>
      <c r="CA25" s="698">
        <f t="shared" si="23"/>
        <v>0</v>
      </c>
      <c r="CB25" s="698">
        <f t="shared" si="24"/>
        <v>0.25</v>
      </c>
      <c r="CC25" s="698">
        <f t="shared" si="25"/>
        <v>0.23789587616666666</v>
      </c>
      <c r="CD25" s="698"/>
      <c r="CE25" s="697">
        <f t="shared" si="2"/>
        <v>0</v>
      </c>
      <c r="CF25" s="697">
        <f t="shared" si="26"/>
        <v>0</v>
      </c>
      <c r="CG25" s="697">
        <f t="shared" si="3"/>
        <v>1</v>
      </c>
      <c r="CH25" s="697">
        <f t="shared" si="27"/>
        <v>0.95158350466666664</v>
      </c>
      <c r="CI25" s="697">
        <f t="shared" si="4"/>
        <v>0</v>
      </c>
      <c r="CJ25" s="697">
        <f t="shared" si="28"/>
        <v>0</v>
      </c>
      <c r="CK25" s="697">
        <f t="shared" si="5"/>
        <v>0</v>
      </c>
      <c r="CL25" s="786">
        <f t="shared" si="29"/>
        <v>0</v>
      </c>
      <c r="CM25" s="136">
        <f t="shared" si="6"/>
        <v>0</v>
      </c>
      <c r="CW25" s="125">
        <v>6</v>
      </c>
    </row>
    <row r="26" spans="1:101" s="70" customFormat="1" ht="127.5" x14ac:dyDescent="0.2">
      <c r="A26" s="785">
        <v>11900</v>
      </c>
      <c r="B26" s="693" t="s">
        <v>125</v>
      </c>
      <c r="C26" s="693" t="s">
        <v>330</v>
      </c>
      <c r="D26" s="693"/>
      <c r="E26" s="693" t="s">
        <v>1023</v>
      </c>
      <c r="F26" s="693" t="s">
        <v>1023</v>
      </c>
      <c r="G26" s="693"/>
      <c r="H26" s="693"/>
      <c r="I26" s="693"/>
      <c r="J26" s="693"/>
      <c r="K26" s="693"/>
      <c r="L26" s="693"/>
      <c r="M26" s="693"/>
      <c r="N26" s="693"/>
      <c r="O26" s="693"/>
      <c r="P26" s="693"/>
      <c r="Q26" s="693" t="s">
        <v>204</v>
      </c>
      <c r="R26" s="693" t="s">
        <v>204</v>
      </c>
      <c r="S26" s="695" t="s">
        <v>126</v>
      </c>
      <c r="T26" s="693" t="s">
        <v>60</v>
      </c>
      <c r="U26" s="693" t="s">
        <v>204</v>
      </c>
      <c r="V26" s="693" t="s">
        <v>204</v>
      </c>
      <c r="W26" s="695" t="s">
        <v>620</v>
      </c>
      <c r="X26" s="693" t="s">
        <v>440</v>
      </c>
      <c r="Y26" s="700" t="s">
        <v>51</v>
      </c>
      <c r="Z26" s="698">
        <v>1</v>
      </c>
      <c r="AA26" s="968" t="s">
        <v>619</v>
      </c>
      <c r="AB26" s="1097" t="s">
        <v>354</v>
      </c>
      <c r="AC26" s="1060">
        <v>53164884</v>
      </c>
      <c r="AD26" s="706">
        <v>1</v>
      </c>
      <c r="AE26" s="693" t="s">
        <v>17</v>
      </c>
      <c r="AF26" s="693" t="s">
        <v>28</v>
      </c>
      <c r="AG26" s="693" t="s">
        <v>204</v>
      </c>
      <c r="AH26" s="693" t="s">
        <v>638</v>
      </c>
      <c r="AI26" s="693" t="s">
        <v>1039</v>
      </c>
      <c r="AJ26" s="959" t="s">
        <v>1293</v>
      </c>
      <c r="AK26" s="693" t="s">
        <v>893</v>
      </c>
      <c r="AL26" s="693" t="s">
        <v>204</v>
      </c>
      <c r="AM26" s="698">
        <v>1</v>
      </c>
      <c r="AN26" s="959" t="str">
        <f>+AB26</f>
        <v>Apoyar a la Oficina Asesora Jurídica en la administración de la plataforma Ekogui, y demás actuaciones necesarias para gestionar y lograr el pago de las sentencias condenatorias y conciliaciones.</v>
      </c>
      <c r="AO26" s="965">
        <f t="shared" si="8"/>
        <v>53164884</v>
      </c>
      <c r="AP26" s="700" t="s">
        <v>46</v>
      </c>
      <c r="AQ26" s="698">
        <v>0</v>
      </c>
      <c r="AR26" s="959" t="str">
        <f t="shared" si="9"/>
        <v>Apoyar a la Oficina Asesora Jurídica en la administración de la plataforma Ekogui, y demás actuaciones necesarias para gestionar y lograr el pago de las sentencias condenatorias y conciliaciones.</v>
      </c>
      <c r="AS26" s="963">
        <f>+AO26/4</f>
        <v>13291221</v>
      </c>
      <c r="AT26" s="706">
        <f>(1/1)*0%</f>
        <v>0</v>
      </c>
      <c r="AU26" s="968" t="s">
        <v>1395</v>
      </c>
      <c r="AV26" s="690" t="e">
        <f t="shared" si="0"/>
        <v>#DIV/0!</v>
      </c>
      <c r="AW26" s="960">
        <f t="shared" si="10"/>
        <v>0.58888886130175699</v>
      </c>
      <c r="AX26" s="690">
        <f t="shared" si="1"/>
        <v>0</v>
      </c>
      <c r="AY26" s="960">
        <f t="shared" si="11"/>
        <v>0.14722221532543925</v>
      </c>
      <c r="AZ26" s="561" t="s">
        <v>1402</v>
      </c>
      <c r="BA26" s="698">
        <v>0.5</v>
      </c>
      <c r="BB26" s="959" t="str">
        <f t="shared" si="12"/>
        <v>Apoyar a la Oficina Asesora Jurídica en la administración de la plataforma Ekogui, y demás actuaciones necesarias para gestionar y lograr el pago de las sentencias condenatorias y conciliaciones.</v>
      </c>
      <c r="BC26" s="963">
        <f>+AO26/4</f>
        <v>13291221</v>
      </c>
      <c r="BD26" s="515">
        <f>(5/5*50%)</f>
        <v>0.5</v>
      </c>
      <c r="BE26" s="963">
        <v>13291221</v>
      </c>
      <c r="BF26" s="690">
        <f t="shared" si="13"/>
        <v>1</v>
      </c>
      <c r="BG26" s="960">
        <f t="shared" si="14"/>
        <v>1</v>
      </c>
      <c r="BH26" s="690">
        <f t="shared" si="15"/>
        <v>0.5</v>
      </c>
      <c r="BI26" s="960">
        <f t="shared" si="16"/>
        <v>0.39722221532543928</v>
      </c>
      <c r="BJ26" s="516" t="s">
        <v>1734</v>
      </c>
      <c r="BK26" s="698">
        <v>0</v>
      </c>
      <c r="BL26" s="959" t="str">
        <f t="shared" si="30"/>
        <v>Apoyar a la Oficina Asesora Jurídica en la administración de la plataforma Ekogui, y demás actuaciones necesarias para gestionar y lograr el pago de las sentencias condenatorias y conciliaciones.</v>
      </c>
      <c r="BM26" s="963">
        <f>+AO26/4</f>
        <v>13291221</v>
      </c>
      <c r="BN26" s="695"/>
      <c r="BO26" s="968"/>
      <c r="BP26" s="690" t="e">
        <f t="shared" si="17"/>
        <v>#DIV/0!</v>
      </c>
      <c r="BQ26" s="960">
        <f t="shared" si="18"/>
        <v>0</v>
      </c>
      <c r="BR26" s="690">
        <f t="shared" si="19"/>
        <v>0.5</v>
      </c>
      <c r="BS26" s="960">
        <f t="shared" si="20"/>
        <v>0.39722221532543928</v>
      </c>
      <c r="BT26" s="690"/>
      <c r="BU26" s="698">
        <v>0.5</v>
      </c>
      <c r="BV26" s="959" t="str">
        <f t="shared" si="21"/>
        <v>Apoyar a la Oficina Asesora Jurídica en la administración de la plataforma Ekogui, y demás actuaciones necesarias para gestionar y lograr el pago de las sentencias condenatorias y conciliaciones.</v>
      </c>
      <c r="BW26" s="963">
        <f>+AO26/4</f>
        <v>13291221</v>
      </c>
      <c r="BX26" s="695"/>
      <c r="BY26" s="968"/>
      <c r="BZ26" s="698">
        <f t="shared" si="22"/>
        <v>0</v>
      </c>
      <c r="CA26" s="957">
        <f t="shared" si="23"/>
        <v>0</v>
      </c>
      <c r="CB26" s="698">
        <f t="shared" si="24"/>
        <v>0.5</v>
      </c>
      <c r="CC26" s="957">
        <f t="shared" si="25"/>
        <v>0.39722221532543928</v>
      </c>
      <c r="CD26" s="698"/>
      <c r="CE26" s="697" t="str">
        <f t="shared" si="2"/>
        <v>No Prog ni Ejec</v>
      </c>
      <c r="CF26" s="1018">
        <f t="shared" si="26"/>
        <v>0.58888886130175699</v>
      </c>
      <c r="CG26" s="697">
        <f t="shared" si="3"/>
        <v>1</v>
      </c>
      <c r="CH26" s="1018">
        <f t="shared" si="27"/>
        <v>1</v>
      </c>
      <c r="CI26" s="697" t="str">
        <f t="shared" si="4"/>
        <v>No Prog ni Ejec</v>
      </c>
      <c r="CJ26" s="1018">
        <f t="shared" si="28"/>
        <v>0</v>
      </c>
      <c r="CK26" s="697">
        <f t="shared" si="5"/>
        <v>0</v>
      </c>
      <c r="CL26" s="1017">
        <f t="shared" si="29"/>
        <v>0</v>
      </c>
      <c r="CM26" s="136">
        <f t="shared" si="6"/>
        <v>0</v>
      </c>
      <c r="CW26" s="125">
        <v>6</v>
      </c>
    </row>
    <row r="27" spans="1:101" s="70" customFormat="1" ht="267.75" x14ac:dyDescent="0.2">
      <c r="A27" s="785">
        <v>11900</v>
      </c>
      <c r="B27" s="693" t="s">
        <v>125</v>
      </c>
      <c r="C27" s="693" t="s">
        <v>330</v>
      </c>
      <c r="D27" s="693"/>
      <c r="E27" s="693" t="s">
        <v>1023</v>
      </c>
      <c r="F27" s="693" t="s">
        <v>1023</v>
      </c>
      <c r="G27" s="693"/>
      <c r="H27" s="693"/>
      <c r="I27" s="693"/>
      <c r="J27" s="693"/>
      <c r="K27" s="693"/>
      <c r="L27" s="693"/>
      <c r="M27" s="693"/>
      <c r="N27" s="693"/>
      <c r="O27" s="693"/>
      <c r="P27" s="693"/>
      <c r="Q27" s="693" t="s">
        <v>204</v>
      </c>
      <c r="R27" s="693" t="s">
        <v>204</v>
      </c>
      <c r="S27" s="695" t="s">
        <v>126</v>
      </c>
      <c r="T27" s="693" t="s">
        <v>60</v>
      </c>
      <c r="U27" s="693" t="s">
        <v>204</v>
      </c>
      <c r="V27" s="693" t="s">
        <v>204</v>
      </c>
      <c r="W27" s="695" t="s">
        <v>621</v>
      </c>
      <c r="X27" s="693" t="s">
        <v>443</v>
      </c>
      <c r="Y27" s="700" t="s">
        <v>51</v>
      </c>
      <c r="Z27" s="698">
        <v>1</v>
      </c>
      <c r="AA27" s="968"/>
      <c r="AB27" s="1097"/>
      <c r="AC27" s="1060"/>
      <c r="AD27" s="706">
        <v>1</v>
      </c>
      <c r="AE27" s="693" t="s">
        <v>17</v>
      </c>
      <c r="AF27" s="693" t="s">
        <v>28</v>
      </c>
      <c r="AG27" s="693" t="s">
        <v>204</v>
      </c>
      <c r="AH27" s="693" t="s">
        <v>638</v>
      </c>
      <c r="AI27" s="693" t="s">
        <v>1039</v>
      </c>
      <c r="AJ27" s="959"/>
      <c r="AK27" s="702" t="s">
        <v>1553</v>
      </c>
      <c r="AL27" s="693" t="s">
        <v>204</v>
      </c>
      <c r="AM27" s="698">
        <v>1</v>
      </c>
      <c r="AN27" s="959"/>
      <c r="AO27" s="965"/>
      <c r="AP27" s="700" t="s">
        <v>46</v>
      </c>
      <c r="AQ27" s="698">
        <v>0.25</v>
      </c>
      <c r="AR27" s="959"/>
      <c r="AS27" s="963"/>
      <c r="AT27" s="706">
        <f>(1460/1542)*25%</f>
        <v>0.23670557717250323</v>
      </c>
      <c r="AU27" s="968"/>
      <c r="AV27" s="690">
        <f t="shared" si="0"/>
        <v>0.94682230869001294</v>
      </c>
      <c r="AW27" s="960"/>
      <c r="AX27" s="690">
        <f t="shared" si="1"/>
        <v>0.23670557717250323</v>
      </c>
      <c r="AY27" s="960"/>
      <c r="AZ27" s="561" t="s">
        <v>1403</v>
      </c>
      <c r="BA27" s="698">
        <v>0.25</v>
      </c>
      <c r="BB27" s="959"/>
      <c r="BC27" s="963"/>
      <c r="BD27" s="515">
        <f>(350/373)*25%</f>
        <v>0.23458445040214476</v>
      </c>
      <c r="BE27" s="963"/>
      <c r="BF27" s="690">
        <f t="shared" si="13"/>
        <v>0.93833780160857905</v>
      </c>
      <c r="BG27" s="960"/>
      <c r="BH27" s="690">
        <f t="shared" si="15"/>
        <v>0.471290027574648</v>
      </c>
      <c r="BI27" s="960"/>
      <c r="BJ27" s="516" t="s">
        <v>1735</v>
      </c>
      <c r="BK27" s="698">
        <v>0.25</v>
      </c>
      <c r="BL27" s="959"/>
      <c r="BM27" s="963"/>
      <c r="BN27" s="695"/>
      <c r="BO27" s="968"/>
      <c r="BP27" s="690">
        <f t="shared" si="17"/>
        <v>0</v>
      </c>
      <c r="BQ27" s="960"/>
      <c r="BR27" s="690">
        <f t="shared" si="19"/>
        <v>0.471290027574648</v>
      </c>
      <c r="BS27" s="960"/>
      <c r="BT27" s="690"/>
      <c r="BU27" s="698">
        <v>0.25</v>
      </c>
      <c r="BV27" s="959"/>
      <c r="BW27" s="963"/>
      <c r="BX27" s="695"/>
      <c r="BY27" s="968"/>
      <c r="BZ27" s="698">
        <f t="shared" si="22"/>
        <v>0</v>
      </c>
      <c r="CA27" s="957"/>
      <c r="CB27" s="698">
        <f t="shared" si="24"/>
        <v>0.471290027574648</v>
      </c>
      <c r="CC27" s="957"/>
      <c r="CD27" s="698"/>
      <c r="CE27" s="697">
        <f t="shared" si="2"/>
        <v>0.94682230869001294</v>
      </c>
      <c r="CF27" s="1018"/>
      <c r="CG27" s="697">
        <f t="shared" si="3"/>
        <v>0.93833780160857905</v>
      </c>
      <c r="CH27" s="1018"/>
      <c r="CI27" s="697">
        <f t="shared" si="4"/>
        <v>0</v>
      </c>
      <c r="CJ27" s="1018"/>
      <c r="CK27" s="697">
        <f t="shared" si="5"/>
        <v>0</v>
      </c>
      <c r="CL27" s="1017"/>
      <c r="CM27" s="136">
        <f t="shared" si="6"/>
        <v>0</v>
      </c>
      <c r="CW27" s="125">
        <v>6</v>
      </c>
    </row>
    <row r="28" spans="1:101" s="70" customFormat="1" ht="89.25" x14ac:dyDescent="0.2">
      <c r="A28" s="785">
        <v>11900</v>
      </c>
      <c r="B28" s="693" t="s">
        <v>125</v>
      </c>
      <c r="C28" s="693" t="s">
        <v>330</v>
      </c>
      <c r="D28" s="693"/>
      <c r="E28" s="693" t="s">
        <v>1023</v>
      </c>
      <c r="F28" s="693" t="s">
        <v>1023</v>
      </c>
      <c r="G28" s="693"/>
      <c r="H28" s="693"/>
      <c r="I28" s="693"/>
      <c r="J28" s="693"/>
      <c r="K28" s="693"/>
      <c r="L28" s="693"/>
      <c r="M28" s="693"/>
      <c r="N28" s="693"/>
      <c r="O28" s="693"/>
      <c r="P28" s="693"/>
      <c r="Q28" s="693" t="s">
        <v>204</v>
      </c>
      <c r="R28" s="693" t="s">
        <v>204</v>
      </c>
      <c r="S28" s="695" t="s">
        <v>126</v>
      </c>
      <c r="T28" s="693" t="s">
        <v>60</v>
      </c>
      <c r="U28" s="693" t="s">
        <v>204</v>
      </c>
      <c r="V28" s="693" t="s">
        <v>204</v>
      </c>
      <c r="W28" s="695" t="s">
        <v>622</v>
      </c>
      <c r="X28" s="693" t="s">
        <v>441</v>
      </c>
      <c r="Y28" s="700" t="s">
        <v>442</v>
      </c>
      <c r="Z28" s="597">
        <v>4</v>
      </c>
      <c r="AA28" s="968"/>
      <c r="AB28" s="1097"/>
      <c r="AC28" s="1060"/>
      <c r="AD28" s="706">
        <v>1</v>
      </c>
      <c r="AE28" s="693" t="s">
        <v>17</v>
      </c>
      <c r="AF28" s="693" t="s">
        <v>28</v>
      </c>
      <c r="AG28" s="693" t="s">
        <v>204</v>
      </c>
      <c r="AH28" s="693" t="s">
        <v>638</v>
      </c>
      <c r="AI28" s="693" t="s">
        <v>1039</v>
      </c>
      <c r="AJ28" s="959"/>
      <c r="AK28" s="702" t="s">
        <v>1554</v>
      </c>
      <c r="AL28" s="693" t="s">
        <v>204</v>
      </c>
      <c r="AM28" s="597">
        <v>4</v>
      </c>
      <c r="AN28" s="959"/>
      <c r="AO28" s="965"/>
      <c r="AP28" s="700" t="s">
        <v>46</v>
      </c>
      <c r="AQ28" s="639">
        <v>1</v>
      </c>
      <c r="AR28" s="959"/>
      <c r="AS28" s="963"/>
      <c r="AT28" s="695">
        <v>1</v>
      </c>
      <c r="AU28" s="968"/>
      <c r="AV28" s="690">
        <f t="shared" si="0"/>
        <v>1</v>
      </c>
      <c r="AW28" s="960"/>
      <c r="AX28" s="690">
        <f t="shared" si="1"/>
        <v>0.25</v>
      </c>
      <c r="AY28" s="960"/>
      <c r="AZ28" s="561" t="s">
        <v>1404</v>
      </c>
      <c r="BA28" s="639">
        <v>1</v>
      </c>
      <c r="BB28" s="959"/>
      <c r="BC28" s="963"/>
      <c r="BD28" s="716">
        <v>1</v>
      </c>
      <c r="BE28" s="963"/>
      <c r="BF28" s="690">
        <f t="shared" si="13"/>
        <v>1</v>
      </c>
      <c r="BG28" s="960"/>
      <c r="BH28" s="690">
        <f t="shared" si="15"/>
        <v>0.5</v>
      </c>
      <c r="BI28" s="960"/>
      <c r="BJ28" s="512" t="s">
        <v>1736</v>
      </c>
      <c r="BK28" s="639">
        <v>1</v>
      </c>
      <c r="BL28" s="959"/>
      <c r="BM28" s="963"/>
      <c r="BN28" s="695"/>
      <c r="BO28" s="968"/>
      <c r="BP28" s="690">
        <f t="shared" si="17"/>
        <v>0</v>
      </c>
      <c r="BQ28" s="960"/>
      <c r="BR28" s="690">
        <f t="shared" si="19"/>
        <v>0.5</v>
      </c>
      <c r="BS28" s="960"/>
      <c r="BT28" s="690"/>
      <c r="BU28" s="639">
        <v>1</v>
      </c>
      <c r="BV28" s="959"/>
      <c r="BW28" s="963"/>
      <c r="BX28" s="695"/>
      <c r="BY28" s="968"/>
      <c r="BZ28" s="698">
        <f t="shared" si="22"/>
        <v>0</v>
      </c>
      <c r="CA28" s="957"/>
      <c r="CB28" s="698">
        <f t="shared" si="24"/>
        <v>0.5</v>
      </c>
      <c r="CC28" s="957"/>
      <c r="CD28" s="698"/>
      <c r="CE28" s="697">
        <f t="shared" si="2"/>
        <v>1</v>
      </c>
      <c r="CF28" s="1018"/>
      <c r="CG28" s="697">
        <f t="shared" si="3"/>
        <v>1</v>
      </c>
      <c r="CH28" s="1018"/>
      <c r="CI28" s="697">
        <f t="shared" si="4"/>
        <v>0</v>
      </c>
      <c r="CJ28" s="1018"/>
      <c r="CK28" s="697">
        <f t="shared" si="5"/>
        <v>0</v>
      </c>
      <c r="CL28" s="1017"/>
      <c r="CM28" s="136">
        <f t="shared" si="6"/>
        <v>0</v>
      </c>
      <c r="CW28" s="125">
        <v>6</v>
      </c>
    </row>
    <row r="29" spans="1:101" s="70" customFormat="1" ht="127.5" customHeight="1" x14ac:dyDescent="0.2">
      <c r="A29" s="785">
        <v>11900</v>
      </c>
      <c r="B29" s="693" t="s">
        <v>125</v>
      </c>
      <c r="C29" s="693" t="s">
        <v>330</v>
      </c>
      <c r="D29" s="693"/>
      <c r="E29" s="693" t="s">
        <v>1023</v>
      </c>
      <c r="F29" s="693" t="s">
        <v>1023</v>
      </c>
      <c r="G29" s="693"/>
      <c r="H29" s="693"/>
      <c r="I29" s="693"/>
      <c r="J29" s="693"/>
      <c r="K29" s="693"/>
      <c r="L29" s="693"/>
      <c r="M29" s="693"/>
      <c r="N29" s="693"/>
      <c r="O29" s="693"/>
      <c r="P29" s="693"/>
      <c r="Q29" s="693" t="s">
        <v>204</v>
      </c>
      <c r="R29" s="693" t="s">
        <v>204</v>
      </c>
      <c r="S29" s="695" t="s">
        <v>126</v>
      </c>
      <c r="T29" s="693" t="s">
        <v>60</v>
      </c>
      <c r="U29" s="693" t="s">
        <v>204</v>
      </c>
      <c r="V29" s="693" t="s">
        <v>204</v>
      </c>
      <c r="W29" s="968" t="s">
        <v>625</v>
      </c>
      <c r="X29" s="959" t="s">
        <v>444</v>
      </c>
      <c r="Y29" s="973" t="s">
        <v>51</v>
      </c>
      <c r="Z29" s="957">
        <v>1</v>
      </c>
      <c r="AA29" s="968" t="s">
        <v>624</v>
      </c>
      <c r="AB29" s="1097" t="s">
        <v>895</v>
      </c>
      <c r="AC29" s="1060">
        <v>163716864</v>
      </c>
      <c r="AD29" s="964">
        <v>1</v>
      </c>
      <c r="AE29" s="959" t="s">
        <v>17</v>
      </c>
      <c r="AF29" s="959" t="s">
        <v>28</v>
      </c>
      <c r="AG29" s="959" t="s">
        <v>204</v>
      </c>
      <c r="AH29" s="959" t="s">
        <v>638</v>
      </c>
      <c r="AI29" s="959" t="s">
        <v>1039</v>
      </c>
      <c r="AJ29" s="959" t="s">
        <v>1293</v>
      </c>
      <c r="AK29" s="702" t="s">
        <v>1556</v>
      </c>
      <c r="AL29" s="959" t="s">
        <v>204</v>
      </c>
      <c r="AM29" s="706">
        <v>1</v>
      </c>
      <c r="AN29" s="959" t="str">
        <f>+AB29</f>
        <v>Ejercer la representación judicial en los procesos penales y denuncias en que sea parte la ADRES.</v>
      </c>
      <c r="AO29" s="965">
        <f>+AC29</f>
        <v>163716864</v>
      </c>
      <c r="AP29" s="700" t="s">
        <v>46</v>
      </c>
      <c r="AQ29" s="698">
        <v>0.25</v>
      </c>
      <c r="AR29" s="959" t="str">
        <f>+AN29</f>
        <v>Ejercer la representación judicial en los procesos penales y denuncias en que sea parte la ADRES.</v>
      </c>
      <c r="AS29" s="963">
        <f>+AO29/4</f>
        <v>40929216</v>
      </c>
      <c r="AT29" s="706">
        <f>16/56*25%</f>
        <v>7.1428571428571425E-2</v>
      </c>
      <c r="AU29" s="968" t="s">
        <v>1396</v>
      </c>
      <c r="AV29" s="690">
        <f t="shared" si="0"/>
        <v>0.2857142857142857</v>
      </c>
      <c r="AW29" s="960">
        <f>+(AU29/AS29)</f>
        <v>0.58888887585826222</v>
      </c>
      <c r="AX29" s="690">
        <f t="shared" si="1"/>
        <v>7.1428571428571425E-2</v>
      </c>
      <c r="AY29" s="960">
        <f>+(AU29/AO29)</f>
        <v>0.14722221896456555</v>
      </c>
      <c r="AZ29" s="486" t="s">
        <v>1405</v>
      </c>
      <c r="BA29" s="698">
        <v>0.25</v>
      </c>
      <c r="BB29" s="959" t="str">
        <f>+AN29</f>
        <v>Ejercer la representación judicial en los procesos penales y denuncias en que sea parte la ADRES.</v>
      </c>
      <c r="BC29" s="963">
        <f>+AO29/4</f>
        <v>40929216</v>
      </c>
      <c r="BD29" s="515">
        <f>(15/16*25%)</f>
        <v>0.234375</v>
      </c>
      <c r="BE29" s="963">
        <v>40929216</v>
      </c>
      <c r="BF29" s="690">
        <f>+(BD29/BA29)</f>
        <v>0.9375</v>
      </c>
      <c r="BG29" s="960">
        <f>+(BE29/BC29)</f>
        <v>1</v>
      </c>
      <c r="BH29" s="690">
        <f>+(BD29+AT29)/AM29</f>
        <v>0.3058035714285714</v>
      </c>
      <c r="BI29" s="960">
        <f>+(BE29+AU29)/AO29</f>
        <v>0.39722221896456555</v>
      </c>
      <c r="BJ29" s="516" t="s">
        <v>1737</v>
      </c>
      <c r="BK29" s="698">
        <v>0.25</v>
      </c>
      <c r="BL29" s="959" t="str">
        <f>+AN29</f>
        <v>Ejercer la representación judicial en los procesos penales y denuncias en que sea parte la ADRES.</v>
      </c>
      <c r="BM29" s="963">
        <f>+AO29/4</f>
        <v>40929216</v>
      </c>
      <c r="BN29" s="695"/>
      <c r="BO29" s="968"/>
      <c r="BP29" s="690">
        <f t="shared" si="17"/>
        <v>0</v>
      </c>
      <c r="BQ29" s="960">
        <f>+(BO29/BM29)</f>
        <v>0</v>
      </c>
      <c r="BR29" s="690">
        <f t="shared" si="19"/>
        <v>0.3058035714285714</v>
      </c>
      <c r="BS29" s="960">
        <f>+(BE29+AU29+BO29)/AO29</f>
        <v>0.39722221896456555</v>
      </c>
      <c r="BT29" s="690"/>
      <c r="BU29" s="698">
        <v>0.25</v>
      </c>
      <c r="BV29" s="959" t="str">
        <f>+AN29</f>
        <v>Ejercer la representación judicial en los procesos penales y denuncias en que sea parte la ADRES.</v>
      </c>
      <c r="BW29" s="963">
        <f>+AO29/4</f>
        <v>40929216</v>
      </c>
      <c r="BX29" s="695"/>
      <c r="BY29" s="968"/>
      <c r="BZ29" s="698">
        <f t="shared" si="22"/>
        <v>0</v>
      </c>
      <c r="CA29" s="957">
        <f>+(BY29/BW29)</f>
        <v>0</v>
      </c>
      <c r="CB29" s="698">
        <f t="shared" si="24"/>
        <v>0.3058035714285714</v>
      </c>
      <c r="CC29" s="957">
        <f>+(BE29+AU29+BO29+BY29)/AO29</f>
        <v>0.39722221896456555</v>
      </c>
      <c r="CD29" s="698"/>
      <c r="CE29" s="697">
        <f t="shared" si="2"/>
        <v>0.2857142857142857</v>
      </c>
      <c r="CF29" s="1018">
        <f>IF(AND(AS29=0,AU29=0),"No Prog ni Ejec",IF(AS29=0,CONCATENATE("No Prog, Ejec=  ",AU29),AU29/AS29))</f>
        <v>0.58888887585826222</v>
      </c>
      <c r="CG29" s="697">
        <f t="shared" si="3"/>
        <v>0.9375</v>
      </c>
      <c r="CH29" s="1018">
        <f>IF(AND(BC29=0,BE29=0),"No Prog ni Ejec",IF(BC29=0,CONCATENATE("No Prog, Ejec=  ",BE29),BE29/BC29))</f>
        <v>1</v>
      </c>
      <c r="CI29" s="697">
        <f t="shared" si="4"/>
        <v>0</v>
      </c>
      <c r="CJ29" s="1018">
        <f>IF(AND(BM29=0,BO29=0),"No Prog ni Ejec",IF(BM29=0,CONCATENATE("No Prog, Ejec=  ",BO29),BO29/BM29))</f>
        <v>0</v>
      </c>
      <c r="CK29" s="697">
        <f t="shared" si="5"/>
        <v>0</v>
      </c>
      <c r="CL29" s="1017">
        <f>IF(AND(BW29=0,BY29=0),"No Prog ni Ejec",IF(BW29=0,CONCATENATE("No Prog, Ejec=  ",BY29),BY29/BW29))</f>
        <v>0</v>
      </c>
      <c r="CM29" s="136">
        <f t="shared" si="6"/>
        <v>0</v>
      </c>
      <c r="CW29" s="125">
        <v>6</v>
      </c>
    </row>
    <row r="30" spans="1:101" s="70" customFormat="1" ht="38.25" x14ac:dyDescent="0.2">
      <c r="A30" s="785">
        <v>11900</v>
      </c>
      <c r="B30" s="693" t="s">
        <v>125</v>
      </c>
      <c r="C30" s="693" t="s">
        <v>330</v>
      </c>
      <c r="D30" s="693"/>
      <c r="E30" s="693" t="s">
        <v>1023</v>
      </c>
      <c r="F30" s="693" t="s">
        <v>1023</v>
      </c>
      <c r="G30" s="693"/>
      <c r="H30" s="693"/>
      <c r="I30" s="693"/>
      <c r="J30" s="693"/>
      <c r="K30" s="693"/>
      <c r="L30" s="693"/>
      <c r="M30" s="693"/>
      <c r="N30" s="693"/>
      <c r="O30" s="693"/>
      <c r="P30" s="693"/>
      <c r="Q30" s="693" t="s">
        <v>204</v>
      </c>
      <c r="R30" s="693" t="s">
        <v>204</v>
      </c>
      <c r="S30" s="695" t="s">
        <v>126</v>
      </c>
      <c r="T30" s="693" t="s">
        <v>60</v>
      </c>
      <c r="U30" s="693" t="s">
        <v>204</v>
      </c>
      <c r="V30" s="693" t="s">
        <v>204</v>
      </c>
      <c r="W30" s="968"/>
      <c r="X30" s="959"/>
      <c r="Y30" s="973"/>
      <c r="Z30" s="957"/>
      <c r="AA30" s="968"/>
      <c r="AB30" s="1097"/>
      <c r="AC30" s="1060"/>
      <c r="AD30" s="964"/>
      <c r="AE30" s="959"/>
      <c r="AF30" s="959"/>
      <c r="AG30" s="959"/>
      <c r="AH30" s="959"/>
      <c r="AI30" s="959"/>
      <c r="AJ30" s="959"/>
      <c r="AK30" s="702" t="s">
        <v>1557</v>
      </c>
      <c r="AL30" s="959"/>
      <c r="AM30" s="706">
        <v>1</v>
      </c>
      <c r="AN30" s="959"/>
      <c r="AO30" s="965"/>
      <c r="AP30" s="700" t="s">
        <v>46</v>
      </c>
      <c r="AQ30" s="698">
        <v>0.25</v>
      </c>
      <c r="AR30" s="959"/>
      <c r="AS30" s="963"/>
      <c r="AT30" s="695">
        <f>0/333*25%</f>
        <v>0</v>
      </c>
      <c r="AU30" s="968"/>
      <c r="AV30" s="690">
        <f t="shared" si="0"/>
        <v>0</v>
      </c>
      <c r="AW30" s="960"/>
      <c r="AX30" s="690">
        <f t="shared" si="1"/>
        <v>0</v>
      </c>
      <c r="AY30" s="960"/>
      <c r="AZ30" s="486" t="s">
        <v>1406</v>
      </c>
      <c r="BA30" s="698">
        <v>0.25</v>
      </c>
      <c r="BB30" s="959"/>
      <c r="BC30" s="963"/>
      <c r="BD30" s="515">
        <f>(2/2*25%)</f>
        <v>0.25</v>
      </c>
      <c r="BE30" s="963"/>
      <c r="BF30" s="944">
        <f>+(BD30/BA30)</f>
        <v>1</v>
      </c>
      <c r="BG30" s="960"/>
      <c r="BH30" s="944">
        <f>+(BD30+AT30)/AM30</f>
        <v>0.25</v>
      </c>
      <c r="BI30" s="960"/>
      <c r="BJ30" s="512" t="s">
        <v>1738</v>
      </c>
      <c r="BK30" s="698">
        <v>0.25</v>
      </c>
      <c r="BL30" s="959"/>
      <c r="BM30" s="963"/>
      <c r="BN30" s="695"/>
      <c r="BO30" s="968"/>
      <c r="BP30" s="690"/>
      <c r="BQ30" s="960"/>
      <c r="BR30" s="690"/>
      <c r="BS30" s="960"/>
      <c r="BT30" s="690"/>
      <c r="BU30" s="698">
        <v>0.25</v>
      </c>
      <c r="BV30" s="959"/>
      <c r="BW30" s="963"/>
      <c r="BX30" s="695"/>
      <c r="BY30" s="968"/>
      <c r="BZ30" s="698"/>
      <c r="CA30" s="957"/>
      <c r="CB30" s="698"/>
      <c r="CC30" s="957"/>
      <c r="CD30" s="698"/>
      <c r="CE30" s="697">
        <f t="shared" si="2"/>
        <v>0</v>
      </c>
      <c r="CF30" s="1018"/>
      <c r="CG30" s="697">
        <f t="shared" si="3"/>
        <v>1</v>
      </c>
      <c r="CH30" s="1018"/>
      <c r="CI30" s="697">
        <f t="shared" si="4"/>
        <v>0</v>
      </c>
      <c r="CJ30" s="1018"/>
      <c r="CK30" s="697">
        <f t="shared" si="5"/>
        <v>0</v>
      </c>
      <c r="CL30" s="1017"/>
      <c r="CM30" s="136">
        <f t="shared" si="6"/>
        <v>0</v>
      </c>
    </row>
    <row r="31" spans="1:101" s="70" customFormat="1" ht="51" customHeight="1" x14ac:dyDescent="0.2">
      <c r="A31" s="785">
        <v>11900</v>
      </c>
      <c r="B31" s="693" t="s">
        <v>125</v>
      </c>
      <c r="C31" s="693" t="s">
        <v>330</v>
      </c>
      <c r="D31" s="693"/>
      <c r="E31" s="693" t="s">
        <v>1023</v>
      </c>
      <c r="F31" s="693" t="s">
        <v>1023</v>
      </c>
      <c r="G31" s="693"/>
      <c r="H31" s="693"/>
      <c r="I31" s="693"/>
      <c r="J31" s="693"/>
      <c r="K31" s="693"/>
      <c r="L31" s="693"/>
      <c r="M31" s="693"/>
      <c r="N31" s="693"/>
      <c r="O31" s="693"/>
      <c r="P31" s="693"/>
      <c r="Q31" s="693" t="s">
        <v>204</v>
      </c>
      <c r="R31" s="693" t="s">
        <v>204</v>
      </c>
      <c r="S31" s="695" t="s">
        <v>126</v>
      </c>
      <c r="T31" s="693" t="s">
        <v>60</v>
      </c>
      <c r="U31" s="693" t="s">
        <v>204</v>
      </c>
      <c r="V31" s="693" t="s">
        <v>204</v>
      </c>
      <c r="W31" s="695" t="s">
        <v>890</v>
      </c>
      <c r="X31" s="693" t="s">
        <v>896</v>
      </c>
      <c r="Y31" s="716" t="s">
        <v>51</v>
      </c>
      <c r="Z31" s="698">
        <v>1</v>
      </c>
      <c r="AA31" s="968" t="s">
        <v>626</v>
      </c>
      <c r="AB31" s="959" t="s">
        <v>445</v>
      </c>
      <c r="AC31" s="963">
        <f>1033837738-220976134</f>
        <v>812861604</v>
      </c>
      <c r="AD31" s="706">
        <v>1</v>
      </c>
      <c r="AE31" s="693" t="s">
        <v>17</v>
      </c>
      <c r="AF31" s="693" t="s">
        <v>28</v>
      </c>
      <c r="AG31" s="693" t="s">
        <v>204</v>
      </c>
      <c r="AH31" s="693" t="s">
        <v>638</v>
      </c>
      <c r="AI31" s="693" t="s">
        <v>1039</v>
      </c>
      <c r="AJ31" s="959" t="s">
        <v>1293</v>
      </c>
      <c r="AK31" s="693" t="s">
        <v>897</v>
      </c>
      <c r="AL31" s="693" t="s">
        <v>204</v>
      </c>
      <c r="AM31" s="706">
        <v>1</v>
      </c>
      <c r="AN31" s="959" t="str">
        <f>+AB31</f>
        <v xml:space="preserve">Ejercer la representación prejudicial y  judicial en los procesos en que sea parte la  – ADRES </v>
      </c>
      <c r="AO31" s="965">
        <f>+AC31</f>
        <v>812861604</v>
      </c>
      <c r="AP31" s="700" t="s">
        <v>46</v>
      </c>
      <c r="AQ31" s="698">
        <v>0.25</v>
      </c>
      <c r="AR31" s="959" t="str">
        <f>+AN31</f>
        <v xml:space="preserve">Ejercer la representación prejudicial y  judicial en los procesos en que sea parte la  – ADRES </v>
      </c>
      <c r="AS31" s="963">
        <f>+AO31/4</f>
        <v>203215401</v>
      </c>
      <c r="AT31" s="706">
        <f>(52/52)*25%</f>
        <v>0.25</v>
      </c>
      <c r="AU31" s="1101">
        <v>97596330.010000005</v>
      </c>
      <c r="AV31" s="690">
        <f t="shared" si="0"/>
        <v>1</v>
      </c>
      <c r="AW31" s="960">
        <f>+(AU31/AS31)</f>
        <v>0.48026049959668166</v>
      </c>
      <c r="AX31" s="690">
        <f t="shared" si="1"/>
        <v>0.25</v>
      </c>
      <c r="AY31" s="960">
        <f>+(AU31/AO31)</f>
        <v>0.12006512489917041</v>
      </c>
      <c r="AZ31" s="561" t="s">
        <v>1407</v>
      </c>
      <c r="BA31" s="698">
        <v>0.25</v>
      </c>
      <c r="BB31" s="959" t="str">
        <f>+AN31</f>
        <v xml:space="preserve">Ejercer la representación prejudicial y  judicial en los procesos en que sea parte la  – ADRES </v>
      </c>
      <c r="BC31" s="963">
        <f>+AO31/4</f>
        <v>203215401</v>
      </c>
      <c r="BD31" s="519">
        <f>(136/151*25%)</f>
        <v>0.2251655629139073</v>
      </c>
      <c r="BE31" s="963">
        <v>136198593</v>
      </c>
      <c r="BF31" s="690">
        <f t="shared" ref="BF31:BF42" si="35">+(BD31/BA31)</f>
        <v>0.90066225165562919</v>
      </c>
      <c r="BG31" s="960">
        <f>+(BE31/BC31)</f>
        <v>0.67021786896948821</v>
      </c>
      <c r="BH31" s="690">
        <f t="shared" ref="BH31:BH42" si="36">+(BD31+AT31)/AM31</f>
        <v>0.47516556291390732</v>
      </c>
      <c r="BI31" s="960">
        <f>+(BE31+AU31)/AO31</f>
        <v>0.28761959214154242</v>
      </c>
      <c r="BJ31" s="516" t="s">
        <v>1739</v>
      </c>
      <c r="BK31" s="698">
        <v>0.25</v>
      </c>
      <c r="BL31" s="959" t="str">
        <f>+AN31</f>
        <v xml:space="preserve">Ejercer la representación prejudicial y  judicial en los procesos en que sea parte la  – ADRES </v>
      </c>
      <c r="BM31" s="963">
        <f>+AO31/4</f>
        <v>203215401</v>
      </c>
      <c r="BN31" s="695"/>
      <c r="BO31" s="968"/>
      <c r="BP31" s="690">
        <f t="shared" ref="BP31:BP42" si="37">+(BN31/BK31)</f>
        <v>0</v>
      </c>
      <c r="BQ31" s="960">
        <f>+(BO31/BM31)</f>
        <v>0</v>
      </c>
      <c r="BR31" s="690">
        <f t="shared" ref="BR31:BR42" si="38">+(BD31+AT31+BN31)/AM31</f>
        <v>0.47516556291390732</v>
      </c>
      <c r="BS31" s="960">
        <f>+(BE31+AU31+BO31)/AO31</f>
        <v>0.28761959214154242</v>
      </c>
      <c r="BT31" s="690"/>
      <c r="BU31" s="698">
        <v>0.25</v>
      </c>
      <c r="BV31" s="959" t="str">
        <f>+AN31</f>
        <v xml:space="preserve">Ejercer la representación prejudicial y  judicial en los procesos en que sea parte la  – ADRES </v>
      </c>
      <c r="BW31" s="963">
        <f>+AO31/4</f>
        <v>203215401</v>
      </c>
      <c r="BX31" s="695"/>
      <c r="BY31" s="968"/>
      <c r="BZ31" s="698">
        <f t="shared" ref="BZ31:BZ42" si="39">+(BX31/BU31)</f>
        <v>0</v>
      </c>
      <c r="CA31" s="957">
        <f>+(BY31/BW31)</f>
        <v>0</v>
      </c>
      <c r="CB31" s="698">
        <f t="shared" ref="CB31:CB42" si="40">+(BD31+AT31+BN31+BX31)/AM31</f>
        <v>0.47516556291390732</v>
      </c>
      <c r="CC31" s="957">
        <f>+(BE31+AU31+BO31+BY31)/AO31</f>
        <v>0.28761959214154242</v>
      </c>
      <c r="CD31" s="698"/>
      <c r="CE31" s="697">
        <f t="shared" si="2"/>
        <v>1</v>
      </c>
      <c r="CF31" s="1018">
        <f>IF(AND(AS31=0,AU31=0),"No Prog ni Ejec",IF(AS31=0,CONCATENATE("No Prog, Ejec=  ",AU31),AU31/AS31))</f>
        <v>0.48026049959668166</v>
      </c>
      <c r="CG31" s="697">
        <f t="shared" si="3"/>
        <v>0.90066225165562919</v>
      </c>
      <c r="CH31" s="1018">
        <f>IF(AND(BC31=0,BE31=0),"No Prog ni Ejec",IF(BC31=0,CONCATENATE("No Prog, Ejec=  ",BE31),BE31/BC31))</f>
        <v>0.67021786896948821</v>
      </c>
      <c r="CI31" s="697">
        <f t="shared" si="4"/>
        <v>0</v>
      </c>
      <c r="CJ31" s="1018">
        <f>IF(AND(BM31=0,BO31=0),"No Prog ni Ejec",IF(BM31=0,CONCATENATE("No Prog, Ejec=  ",BO31),BO31/BM31))</f>
        <v>0</v>
      </c>
      <c r="CK31" s="697">
        <f t="shared" si="5"/>
        <v>0</v>
      </c>
      <c r="CL31" s="1017">
        <f>IF(AND(BW31=0,BY31=0),"No Prog ni Ejec",IF(BW31=0,CONCATENATE("No Prog, Ejec=  ",BY31),BY31/BW31))</f>
        <v>0</v>
      </c>
      <c r="CM31" s="136">
        <f t="shared" si="6"/>
        <v>0</v>
      </c>
      <c r="CW31" s="125">
        <v>6</v>
      </c>
    </row>
    <row r="32" spans="1:101" s="70" customFormat="1" ht="344.25" x14ac:dyDescent="0.2">
      <c r="A32" s="785">
        <v>11900</v>
      </c>
      <c r="B32" s="693" t="s">
        <v>125</v>
      </c>
      <c r="C32" s="693" t="s">
        <v>330</v>
      </c>
      <c r="D32" s="693"/>
      <c r="E32" s="693" t="s">
        <v>1023</v>
      </c>
      <c r="F32" s="693" t="s">
        <v>1023</v>
      </c>
      <c r="G32" s="693"/>
      <c r="H32" s="693"/>
      <c r="I32" s="693"/>
      <c r="J32" s="693"/>
      <c r="K32" s="693"/>
      <c r="L32" s="693"/>
      <c r="M32" s="693"/>
      <c r="N32" s="693"/>
      <c r="O32" s="693"/>
      <c r="P32" s="693"/>
      <c r="Q32" s="693" t="s">
        <v>204</v>
      </c>
      <c r="R32" s="693" t="s">
        <v>204</v>
      </c>
      <c r="S32" s="695" t="s">
        <v>126</v>
      </c>
      <c r="T32" s="693" t="s">
        <v>60</v>
      </c>
      <c r="U32" s="693" t="s">
        <v>204</v>
      </c>
      <c r="V32" s="693" t="s">
        <v>204</v>
      </c>
      <c r="W32" s="695" t="s">
        <v>934</v>
      </c>
      <c r="X32" s="693" t="s">
        <v>898</v>
      </c>
      <c r="Y32" s="716" t="s">
        <v>51</v>
      </c>
      <c r="Z32" s="698">
        <v>1</v>
      </c>
      <c r="AA32" s="968"/>
      <c r="AB32" s="959"/>
      <c r="AC32" s="963"/>
      <c r="AD32" s="706">
        <v>1</v>
      </c>
      <c r="AE32" s="693" t="s">
        <v>17</v>
      </c>
      <c r="AF32" s="693" t="s">
        <v>28</v>
      </c>
      <c r="AG32" s="693" t="s">
        <v>204</v>
      </c>
      <c r="AH32" s="693" t="s">
        <v>638</v>
      </c>
      <c r="AI32" s="693" t="s">
        <v>1039</v>
      </c>
      <c r="AJ32" s="959"/>
      <c r="AK32" s="693" t="s">
        <v>899</v>
      </c>
      <c r="AL32" s="693" t="s">
        <v>204</v>
      </c>
      <c r="AM32" s="706">
        <v>1</v>
      </c>
      <c r="AN32" s="959"/>
      <c r="AO32" s="965"/>
      <c r="AP32" s="700" t="s">
        <v>46</v>
      </c>
      <c r="AQ32" s="698">
        <v>0.25</v>
      </c>
      <c r="AR32" s="959"/>
      <c r="AS32" s="963"/>
      <c r="AT32" s="706">
        <f>34/34*25%</f>
        <v>0.25</v>
      </c>
      <c r="AU32" s="968"/>
      <c r="AV32" s="690">
        <f t="shared" si="0"/>
        <v>1</v>
      </c>
      <c r="AW32" s="960"/>
      <c r="AX32" s="690">
        <f t="shared" si="1"/>
        <v>0.25</v>
      </c>
      <c r="AY32" s="960"/>
      <c r="AZ32" s="486" t="s">
        <v>1408</v>
      </c>
      <c r="BA32" s="698">
        <v>0.25</v>
      </c>
      <c r="BB32" s="959"/>
      <c r="BC32" s="963"/>
      <c r="BD32" s="515">
        <f>(48/54*25%)</f>
        <v>0.22222222222222221</v>
      </c>
      <c r="BE32" s="963"/>
      <c r="BF32" s="690">
        <f t="shared" si="35"/>
        <v>0.88888888888888884</v>
      </c>
      <c r="BG32" s="960"/>
      <c r="BH32" s="690">
        <f t="shared" si="36"/>
        <v>0.47222222222222221</v>
      </c>
      <c r="BI32" s="960"/>
      <c r="BJ32" s="516" t="s">
        <v>1740</v>
      </c>
      <c r="BK32" s="698">
        <v>0.25</v>
      </c>
      <c r="BL32" s="959"/>
      <c r="BM32" s="963"/>
      <c r="BN32" s="695"/>
      <c r="BO32" s="968"/>
      <c r="BP32" s="690">
        <f t="shared" si="37"/>
        <v>0</v>
      </c>
      <c r="BQ32" s="960"/>
      <c r="BR32" s="690">
        <f t="shared" si="38"/>
        <v>0.47222222222222221</v>
      </c>
      <c r="BS32" s="960"/>
      <c r="BT32" s="690"/>
      <c r="BU32" s="698">
        <v>0.25</v>
      </c>
      <c r="BV32" s="959"/>
      <c r="BW32" s="963"/>
      <c r="BX32" s="695"/>
      <c r="BY32" s="968"/>
      <c r="BZ32" s="698">
        <f t="shared" si="39"/>
        <v>0</v>
      </c>
      <c r="CA32" s="957"/>
      <c r="CB32" s="698">
        <f t="shared" si="40"/>
        <v>0.47222222222222221</v>
      </c>
      <c r="CC32" s="957"/>
      <c r="CD32" s="698"/>
      <c r="CE32" s="697">
        <f t="shared" si="2"/>
        <v>1</v>
      </c>
      <c r="CF32" s="1018"/>
      <c r="CG32" s="697">
        <f t="shared" si="3"/>
        <v>0.88888888888888884</v>
      </c>
      <c r="CH32" s="1018"/>
      <c r="CI32" s="697">
        <f t="shared" si="4"/>
        <v>0</v>
      </c>
      <c r="CJ32" s="1018"/>
      <c r="CK32" s="697">
        <f t="shared" si="5"/>
        <v>0</v>
      </c>
      <c r="CL32" s="1017"/>
      <c r="CM32" s="136">
        <f t="shared" si="6"/>
        <v>0</v>
      </c>
      <c r="CW32" s="125">
        <v>6</v>
      </c>
    </row>
    <row r="33" spans="1:107" s="70" customFormat="1" ht="216.75" x14ac:dyDescent="0.2">
      <c r="A33" s="785">
        <v>11900</v>
      </c>
      <c r="B33" s="693" t="s">
        <v>125</v>
      </c>
      <c r="C33" s="693" t="s">
        <v>330</v>
      </c>
      <c r="D33" s="693"/>
      <c r="E33" s="693" t="s">
        <v>1023</v>
      </c>
      <c r="F33" s="693" t="s">
        <v>1023</v>
      </c>
      <c r="G33" s="693"/>
      <c r="H33" s="693"/>
      <c r="I33" s="693"/>
      <c r="J33" s="693"/>
      <c r="K33" s="693"/>
      <c r="L33" s="693"/>
      <c r="M33" s="693"/>
      <c r="N33" s="693"/>
      <c r="O33" s="693"/>
      <c r="P33" s="693"/>
      <c r="Q33" s="693" t="s">
        <v>204</v>
      </c>
      <c r="R33" s="693" t="s">
        <v>204</v>
      </c>
      <c r="S33" s="695" t="s">
        <v>126</v>
      </c>
      <c r="T33" s="693" t="s">
        <v>60</v>
      </c>
      <c r="U33" s="693" t="s">
        <v>204</v>
      </c>
      <c r="V33" s="693" t="s">
        <v>204</v>
      </c>
      <c r="W33" s="695" t="s">
        <v>935</v>
      </c>
      <c r="X33" s="693" t="s">
        <v>900</v>
      </c>
      <c r="Y33" s="716" t="s">
        <v>51</v>
      </c>
      <c r="Z33" s="698">
        <v>1</v>
      </c>
      <c r="AA33" s="968"/>
      <c r="AB33" s="959"/>
      <c r="AC33" s="963"/>
      <c r="AD33" s="706">
        <v>1</v>
      </c>
      <c r="AE33" s="693" t="s">
        <v>17</v>
      </c>
      <c r="AF33" s="693" t="s">
        <v>28</v>
      </c>
      <c r="AG33" s="693" t="s">
        <v>204</v>
      </c>
      <c r="AH33" s="693" t="s">
        <v>638</v>
      </c>
      <c r="AI33" s="693" t="s">
        <v>1039</v>
      </c>
      <c r="AJ33" s="959"/>
      <c r="AK33" s="693" t="s">
        <v>901</v>
      </c>
      <c r="AL33" s="693" t="s">
        <v>204</v>
      </c>
      <c r="AM33" s="706">
        <v>1</v>
      </c>
      <c r="AN33" s="959"/>
      <c r="AO33" s="965"/>
      <c r="AP33" s="700" t="s">
        <v>46</v>
      </c>
      <c r="AQ33" s="698">
        <v>0.25</v>
      </c>
      <c r="AR33" s="959"/>
      <c r="AS33" s="963"/>
      <c r="AT33" s="706">
        <f>(39/94)*25%</f>
        <v>0.10372340425531915</v>
      </c>
      <c r="AU33" s="968"/>
      <c r="AV33" s="690">
        <f t="shared" si="0"/>
        <v>0.41489361702127658</v>
      </c>
      <c r="AW33" s="960"/>
      <c r="AX33" s="690">
        <f t="shared" si="1"/>
        <v>0.10372340425531915</v>
      </c>
      <c r="AY33" s="960"/>
      <c r="AZ33" s="561" t="s">
        <v>1409</v>
      </c>
      <c r="BA33" s="698">
        <v>0.25</v>
      </c>
      <c r="BB33" s="959"/>
      <c r="BC33" s="963"/>
      <c r="BD33" s="515">
        <f>(14/31*25%)</f>
        <v>0.11290322580645161</v>
      </c>
      <c r="BE33" s="963"/>
      <c r="BF33" s="690">
        <f t="shared" si="35"/>
        <v>0.45161290322580644</v>
      </c>
      <c r="BG33" s="960"/>
      <c r="BH33" s="690">
        <f t="shared" si="36"/>
        <v>0.21662663006177074</v>
      </c>
      <c r="BI33" s="960"/>
      <c r="BJ33" s="512" t="s">
        <v>1741</v>
      </c>
      <c r="BK33" s="698">
        <v>0.25</v>
      </c>
      <c r="BL33" s="959"/>
      <c r="BM33" s="963"/>
      <c r="BN33" s="695"/>
      <c r="BO33" s="968"/>
      <c r="BP33" s="690">
        <f t="shared" si="37"/>
        <v>0</v>
      </c>
      <c r="BQ33" s="960"/>
      <c r="BR33" s="690">
        <f t="shared" si="38"/>
        <v>0.21662663006177074</v>
      </c>
      <c r="BS33" s="960"/>
      <c r="BT33" s="690"/>
      <c r="BU33" s="698">
        <v>0.25</v>
      </c>
      <c r="BV33" s="959"/>
      <c r="BW33" s="963"/>
      <c r="BX33" s="695"/>
      <c r="BY33" s="968"/>
      <c r="BZ33" s="698">
        <f t="shared" si="39"/>
        <v>0</v>
      </c>
      <c r="CA33" s="957"/>
      <c r="CB33" s="698">
        <f t="shared" si="40"/>
        <v>0.21662663006177074</v>
      </c>
      <c r="CC33" s="957"/>
      <c r="CD33" s="698"/>
      <c r="CE33" s="697">
        <f t="shared" si="2"/>
        <v>0.41489361702127658</v>
      </c>
      <c r="CF33" s="1018"/>
      <c r="CG33" s="697">
        <f t="shared" si="3"/>
        <v>0.45161290322580644</v>
      </c>
      <c r="CH33" s="1018"/>
      <c r="CI33" s="697">
        <f t="shared" si="4"/>
        <v>0</v>
      </c>
      <c r="CJ33" s="1018"/>
      <c r="CK33" s="697">
        <f t="shared" si="5"/>
        <v>0</v>
      </c>
      <c r="CL33" s="1017"/>
      <c r="CM33" s="136">
        <f t="shared" si="6"/>
        <v>0</v>
      </c>
      <c r="CW33" s="125">
        <v>6</v>
      </c>
    </row>
    <row r="34" spans="1:107" s="70" customFormat="1" ht="114.75" x14ac:dyDescent="0.2">
      <c r="A34" s="785">
        <v>11900</v>
      </c>
      <c r="B34" s="693" t="s">
        <v>125</v>
      </c>
      <c r="C34" s="693" t="s">
        <v>330</v>
      </c>
      <c r="D34" s="693"/>
      <c r="E34" s="693" t="s">
        <v>1023</v>
      </c>
      <c r="F34" s="693" t="s">
        <v>1023</v>
      </c>
      <c r="G34" s="693"/>
      <c r="H34" s="693"/>
      <c r="I34" s="693"/>
      <c r="J34" s="693"/>
      <c r="K34" s="693"/>
      <c r="L34" s="693"/>
      <c r="M34" s="693"/>
      <c r="N34" s="693"/>
      <c r="O34" s="693"/>
      <c r="P34" s="693"/>
      <c r="Q34" s="693" t="s">
        <v>204</v>
      </c>
      <c r="R34" s="693" t="s">
        <v>204</v>
      </c>
      <c r="S34" s="695" t="s">
        <v>126</v>
      </c>
      <c r="T34" s="693" t="s">
        <v>60</v>
      </c>
      <c r="U34" s="693" t="s">
        <v>204</v>
      </c>
      <c r="V34" s="693" t="s">
        <v>204</v>
      </c>
      <c r="W34" s="695" t="s">
        <v>936</v>
      </c>
      <c r="X34" s="693" t="s">
        <v>902</v>
      </c>
      <c r="Y34" s="716" t="s">
        <v>51</v>
      </c>
      <c r="Z34" s="698">
        <v>1</v>
      </c>
      <c r="AA34" s="968"/>
      <c r="AB34" s="959"/>
      <c r="AC34" s="963"/>
      <c r="AD34" s="706">
        <v>1</v>
      </c>
      <c r="AE34" s="693" t="s">
        <v>17</v>
      </c>
      <c r="AF34" s="693" t="s">
        <v>28</v>
      </c>
      <c r="AG34" s="693" t="s">
        <v>204</v>
      </c>
      <c r="AH34" s="693" t="s">
        <v>638</v>
      </c>
      <c r="AI34" s="693" t="s">
        <v>1039</v>
      </c>
      <c r="AJ34" s="959"/>
      <c r="AK34" s="693" t="s">
        <v>446</v>
      </c>
      <c r="AL34" s="693" t="s">
        <v>204</v>
      </c>
      <c r="AM34" s="706">
        <v>1</v>
      </c>
      <c r="AN34" s="959"/>
      <c r="AO34" s="965"/>
      <c r="AP34" s="700" t="s">
        <v>46</v>
      </c>
      <c r="AQ34" s="698">
        <v>0.25</v>
      </c>
      <c r="AR34" s="959"/>
      <c r="AS34" s="963"/>
      <c r="AT34" s="706">
        <f>116/117*25%</f>
        <v>0.24786324786324787</v>
      </c>
      <c r="AU34" s="968"/>
      <c r="AV34" s="690">
        <f t="shared" si="0"/>
        <v>0.99145299145299148</v>
      </c>
      <c r="AW34" s="960"/>
      <c r="AX34" s="690">
        <f t="shared" si="1"/>
        <v>0.24786324786324787</v>
      </c>
      <c r="AY34" s="960"/>
      <c r="AZ34" s="562" t="s">
        <v>1410</v>
      </c>
      <c r="BA34" s="698">
        <v>0.25</v>
      </c>
      <c r="BB34" s="959"/>
      <c r="BC34" s="963"/>
      <c r="BD34" s="515">
        <f>(36/36*25%)</f>
        <v>0.25</v>
      </c>
      <c r="BE34" s="963"/>
      <c r="BF34" s="690">
        <f t="shared" si="35"/>
        <v>1</v>
      </c>
      <c r="BG34" s="960"/>
      <c r="BH34" s="690">
        <f t="shared" si="36"/>
        <v>0.49786324786324787</v>
      </c>
      <c r="BI34" s="960"/>
      <c r="BJ34" s="512" t="s">
        <v>1742</v>
      </c>
      <c r="BK34" s="698">
        <v>0.25</v>
      </c>
      <c r="BL34" s="959"/>
      <c r="BM34" s="963"/>
      <c r="BN34" s="695"/>
      <c r="BO34" s="968"/>
      <c r="BP34" s="690">
        <f t="shared" si="37"/>
        <v>0</v>
      </c>
      <c r="BQ34" s="960"/>
      <c r="BR34" s="690">
        <f t="shared" si="38"/>
        <v>0.49786324786324787</v>
      </c>
      <c r="BS34" s="960"/>
      <c r="BT34" s="690"/>
      <c r="BU34" s="698">
        <v>0.25</v>
      </c>
      <c r="BV34" s="959"/>
      <c r="BW34" s="963"/>
      <c r="BX34" s="695"/>
      <c r="BY34" s="968"/>
      <c r="BZ34" s="698">
        <f t="shared" si="39"/>
        <v>0</v>
      </c>
      <c r="CA34" s="957"/>
      <c r="CB34" s="698">
        <f t="shared" si="40"/>
        <v>0.49786324786324787</v>
      </c>
      <c r="CC34" s="957"/>
      <c r="CD34" s="698"/>
      <c r="CE34" s="697">
        <f t="shared" si="2"/>
        <v>0.99145299145299148</v>
      </c>
      <c r="CF34" s="1018"/>
      <c r="CG34" s="697">
        <f t="shared" si="3"/>
        <v>1</v>
      </c>
      <c r="CH34" s="1018"/>
      <c r="CI34" s="697">
        <f t="shared" si="4"/>
        <v>0</v>
      </c>
      <c r="CJ34" s="1018"/>
      <c r="CK34" s="697">
        <f t="shared" si="5"/>
        <v>0</v>
      </c>
      <c r="CL34" s="1017"/>
      <c r="CM34" s="136">
        <f t="shared" si="6"/>
        <v>0</v>
      </c>
      <c r="CW34" s="125">
        <v>6</v>
      </c>
    </row>
    <row r="35" spans="1:107" s="614" customFormat="1" ht="127.5" customHeight="1" x14ac:dyDescent="0.2">
      <c r="A35" s="828">
        <v>11900</v>
      </c>
      <c r="B35" s="689" t="s">
        <v>125</v>
      </c>
      <c r="C35" s="689" t="s">
        <v>330</v>
      </c>
      <c r="D35" s="693"/>
      <c r="E35" s="693" t="s">
        <v>1023</v>
      </c>
      <c r="F35" s="693" t="s">
        <v>1023</v>
      </c>
      <c r="G35" s="693"/>
      <c r="H35" s="693"/>
      <c r="I35" s="693"/>
      <c r="J35" s="693"/>
      <c r="K35" s="693"/>
      <c r="L35" s="693"/>
      <c r="M35" s="693"/>
      <c r="N35" s="693"/>
      <c r="O35" s="693"/>
      <c r="P35" s="693"/>
      <c r="Q35" s="693" t="s">
        <v>204</v>
      </c>
      <c r="R35" s="693" t="s">
        <v>204</v>
      </c>
      <c r="S35" s="695" t="s">
        <v>126</v>
      </c>
      <c r="T35" s="693" t="s">
        <v>60</v>
      </c>
      <c r="U35" s="693" t="s">
        <v>204</v>
      </c>
      <c r="V35" s="693" t="s">
        <v>204</v>
      </c>
      <c r="W35" s="694" t="s">
        <v>628</v>
      </c>
      <c r="X35" s="689" t="s">
        <v>131</v>
      </c>
      <c r="Y35" s="608" t="s">
        <v>51</v>
      </c>
      <c r="Z35" s="707">
        <v>1</v>
      </c>
      <c r="AA35" s="1093" t="s">
        <v>627</v>
      </c>
      <c r="AB35" s="1128" t="s">
        <v>447</v>
      </c>
      <c r="AC35" s="1100">
        <v>45152000</v>
      </c>
      <c r="AD35" s="706">
        <v>1</v>
      </c>
      <c r="AE35" s="693" t="s">
        <v>17</v>
      </c>
      <c r="AF35" s="693" t="s">
        <v>28</v>
      </c>
      <c r="AG35" s="693" t="s">
        <v>204</v>
      </c>
      <c r="AH35" s="693" t="s">
        <v>638</v>
      </c>
      <c r="AI35" s="693" t="s">
        <v>1039</v>
      </c>
      <c r="AJ35" s="959" t="s">
        <v>1293</v>
      </c>
      <c r="AK35" s="689" t="s">
        <v>176</v>
      </c>
      <c r="AL35" s="693" t="s">
        <v>204</v>
      </c>
      <c r="AM35" s="707">
        <v>1</v>
      </c>
      <c r="AN35" s="1083"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1099">
        <f>+AC35</f>
        <v>45152000</v>
      </c>
      <c r="AP35" s="700" t="s">
        <v>46</v>
      </c>
      <c r="AQ35" s="615">
        <v>0.25</v>
      </c>
      <c r="AR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1095">
        <f>+AO35/4</f>
        <v>11288000</v>
      </c>
      <c r="AT35" s="615">
        <f>(12/12)*25%</f>
        <v>0.25</v>
      </c>
      <c r="AU35" s="1129">
        <v>8296000</v>
      </c>
      <c r="AV35" s="692">
        <f t="shared" si="0"/>
        <v>1</v>
      </c>
      <c r="AW35" s="1090">
        <f>+(AU35/AS35)</f>
        <v>0.73493975903614461</v>
      </c>
      <c r="AX35" s="692">
        <f t="shared" si="1"/>
        <v>0.25</v>
      </c>
      <c r="AY35" s="1090">
        <f>+(AU35/AO35)</f>
        <v>0.18373493975903615</v>
      </c>
      <c r="AZ35" s="615" t="s">
        <v>1411</v>
      </c>
      <c r="BA35" s="615">
        <v>0.25</v>
      </c>
      <c r="BB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1095">
        <f>+AO35/4</f>
        <v>11288000</v>
      </c>
      <c r="BD35" s="608"/>
      <c r="BE35" s="1095"/>
      <c r="BF35" s="692">
        <f t="shared" si="35"/>
        <v>0</v>
      </c>
      <c r="BG35" s="1090">
        <f>+(BE35/BC35)</f>
        <v>0</v>
      </c>
      <c r="BH35" s="692">
        <f t="shared" si="36"/>
        <v>0.25</v>
      </c>
      <c r="BI35" s="1090">
        <f>+(BE35+AU35)/AO35</f>
        <v>0.18373493975903615</v>
      </c>
      <c r="BJ35" s="762"/>
      <c r="BK35" s="615">
        <v>0.25</v>
      </c>
      <c r="BL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1095">
        <f>+AO35/4</f>
        <v>11288000</v>
      </c>
      <c r="BN35" s="694"/>
      <c r="BO35" s="1093"/>
      <c r="BP35" s="692">
        <f t="shared" si="37"/>
        <v>0</v>
      </c>
      <c r="BQ35" s="1090">
        <f>+(BO35/BM35)</f>
        <v>0</v>
      </c>
      <c r="BR35" s="692">
        <f t="shared" si="38"/>
        <v>0.25</v>
      </c>
      <c r="BS35" s="1090">
        <f>+(BE35+AU35+BO35)/AO35</f>
        <v>0.18373493975903615</v>
      </c>
      <c r="BT35" s="692"/>
      <c r="BU35" s="615">
        <v>0.25</v>
      </c>
      <c r="BV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1095">
        <f>+AO35/4</f>
        <v>11288000</v>
      </c>
      <c r="BX35" s="694"/>
      <c r="BY35" s="1093"/>
      <c r="BZ35" s="707">
        <f t="shared" si="39"/>
        <v>0</v>
      </c>
      <c r="CA35" s="1109">
        <f>+(BY35/BW35)</f>
        <v>0</v>
      </c>
      <c r="CB35" s="707">
        <f t="shared" si="40"/>
        <v>0.25</v>
      </c>
      <c r="CC35" s="1109">
        <f>+(BE35+AU35+BO35+BY35)/AO35</f>
        <v>0.18373493975903615</v>
      </c>
      <c r="CD35" s="707"/>
      <c r="CE35" s="699">
        <f t="shared" si="2"/>
        <v>1</v>
      </c>
      <c r="CF35" s="1096">
        <f>IF(AND(AS35=0,AU35=0),"No Prog ni Ejec",IF(AS35=0,CONCATENATE("No Prog, Ejec=  ",AU35),AU35/AS35))</f>
        <v>0.73493975903614461</v>
      </c>
      <c r="CG35" s="699">
        <f t="shared" si="3"/>
        <v>0</v>
      </c>
      <c r="CH35" s="1096">
        <f>IF(AND(BC35=0,BE35=0),"No Prog ni Ejec",IF(BC35=0,CONCATENATE("No Prog, Ejec=  ",BE35),BE35/BC35))</f>
        <v>0</v>
      </c>
      <c r="CI35" s="699">
        <f t="shared" si="4"/>
        <v>0</v>
      </c>
      <c r="CJ35" s="1096">
        <f>IF(AND(BM35=0,BO35=0),"No Prog ni Ejec",IF(BM35=0,CONCATENATE("No Prog, Ejec=  ",BO35),BO35/BM35))</f>
        <v>0</v>
      </c>
      <c r="CK35" s="699">
        <f t="shared" si="5"/>
        <v>0</v>
      </c>
      <c r="CL35" s="1108">
        <f>IF(AND(BW35=0,BY35=0),"No Prog ni Ejec",IF(BW35=0,CONCATENATE("No Prog, Ejec=  ",BY35),BY35/BW35))</f>
        <v>0</v>
      </c>
      <c r="CM35" s="613">
        <f t="shared" si="6"/>
        <v>0</v>
      </c>
      <c r="CR35" s="70"/>
      <c r="CS35" s="70"/>
      <c r="CT35" s="70"/>
      <c r="CU35" s="70"/>
      <c r="CV35" s="70"/>
      <c r="CW35" s="125">
        <v>6</v>
      </c>
      <c r="CX35" s="70"/>
      <c r="CY35" s="70"/>
      <c r="CZ35" s="70"/>
      <c r="DA35" s="70"/>
      <c r="DB35" s="70"/>
      <c r="DC35" s="70"/>
    </row>
    <row r="36" spans="1:107" s="614" customFormat="1" ht="51" x14ac:dyDescent="0.2">
      <c r="A36" s="828">
        <v>11900</v>
      </c>
      <c r="B36" s="689" t="s">
        <v>125</v>
      </c>
      <c r="C36" s="689" t="s">
        <v>330</v>
      </c>
      <c r="D36" s="693"/>
      <c r="E36" s="693" t="s">
        <v>1023</v>
      </c>
      <c r="F36" s="693" t="s">
        <v>1023</v>
      </c>
      <c r="G36" s="693"/>
      <c r="H36" s="693"/>
      <c r="I36" s="693"/>
      <c r="J36" s="693"/>
      <c r="K36" s="693"/>
      <c r="L36" s="693"/>
      <c r="M36" s="693"/>
      <c r="N36" s="693"/>
      <c r="O36" s="693"/>
      <c r="P36" s="693"/>
      <c r="Q36" s="693" t="s">
        <v>204</v>
      </c>
      <c r="R36" s="693" t="s">
        <v>204</v>
      </c>
      <c r="S36" s="695" t="s">
        <v>126</v>
      </c>
      <c r="T36" s="693" t="s">
        <v>60</v>
      </c>
      <c r="U36" s="693" t="s">
        <v>204</v>
      </c>
      <c r="V36" s="693" t="s">
        <v>204</v>
      </c>
      <c r="W36" s="694" t="s">
        <v>629</v>
      </c>
      <c r="X36" s="689" t="s">
        <v>448</v>
      </c>
      <c r="Y36" s="608" t="s">
        <v>51</v>
      </c>
      <c r="Z36" s="707">
        <v>1</v>
      </c>
      <c r="AA36" s="1093"/>
      <c r="AB36" s="1128"/>
      <c r="AC36" s="1100"/>
      <c r="AD36" s="706">
        <v>1</v>
      </c>
      <c r="AE36" s="693" t="s">
        <v>17</v>
      </c>
      <c r="AF36" s="693" t="s">
        <v>28</v>
      </c>
      <c r="AG36" s="693" t="s">
        <v>204</v>
      </c>
      <c r="AH36" s="693" t="s">
        <v>638</v>
      </c>
      <c r="AI36" s="693" t="s">
        <v>1039</v>
      </c>
      <c r="AJ36" s="959"/>
      <c r="AK36" s="689" t="s">
        <v>903</v>
      </c>
      <c r="AL36" s="693" t="s">
        <v>204</v>
      </c>
      <c r="AM36" s="707">
        <v>1</v>
      </c>
      <c r="AN36" s="1083"/>
      <c r="AO36" s="1099"/>
      <c r="AP36" s="700" t="s">
        <v>46</v>
      </c>
      <c r="AQ36" s="615">
        <v>0.25</v>
      </c>
      <c r="AR36" s="1083"/>
      <c r="AS36" s="1095"/>
      <c r="AT36" s="694"/>
      <c r="AU36" s="1129"/>
      <c r="AV36" s="692">
        <f t="shared" si="0"/>
        <v>0</v>
      </c>
      <c r="AW36" s="1090"/>
      <c r="AX36" s="692">
        <f t="shared" si="1"/>
        <v>0</v>
      </c>
      <c r="AY36" s="1090"/>
      <c r="AZ36" s="633"/>
      <c r="BA36" s="615">
        <v>0.25</v>
      </c>
      <c r="BB36" s="1083"/>
      <c r="BC36" s="1095"/>
      <c r="BD36" s="608"/>
      <c r="BE36" s="1095"/>
      <c r="BF36" s="692">
        <f t="shared" si="35"/>
        <v>0</v>
      </c>
      <c r="BG36" s="1090"/>
      <c r="BH36" s="692">
        <f t="shared" si="36"/>
        <v>0</v>
      </c>
      <c r="BI36" s="1090"/>
      <c r="BJ36" s="762"/>
      <c r="BK36" s="615">
        <v>0.25</v>
      </c>
      <c r="BL36" s="1083"/>
      <c r="BM36" s="1095"/>
      <c r="BN36" s="694"/>
      <c r="BO36" s="1093"/>
      <c r="BP36" s="692">
        <f t="shared" si="37"/>
        <v>0</v>
      </c>
      <c r="BQ36" s="1090"/>
      <c r="BR36" s="692">
        <f t="shared" si="38"/>
        <v>0</v>
      </c>
      <c r="BS36" s="1090"/>
      <c r="BT36" s="692"/>
      <c r="BU36" s="615">
        <v>0.25</v>
      </c>
      <c r="BV36" s="1083"/>
      <c r="BW36" s="1095"/>
      <c r="BX36" s="694"/>
      <c r="BY36" s="1093"/>
      <c r="BZ36" s="707">
        <f t="shared" si="39"/>
        <v>0</v>
      </c>
      <c r="CA36" s="1109"/>
      <c r="CB36" s="707">
        <f t="shared" si="40"/>
        <v>0</v>
      </c>
      <c r="CC36" s="1109"/>
      <c r="CD36" s="707"/>
      <c r="CE36" s="699">
        <f t="shared" si="2"/>
        <v>0</v>
      </c>
      <c r="CF36" s="1096"/>
      <c r="CG36" s="699">
        <f t="shared" si="3"/>
        <v>0</v>
      </c>
      <c r="CH36" s="1096"/>
      <c r="CI36" s="699">
        <f t="shared" si="4"/>
        <v>0</v>
      </c>
      <c r="CJ36" s="1096"/>
      <c r="CK36" s="699">
        <f t="shared" si="5"/>
        <v>0</v>
      </c>
      <c r="CL36" s="1108"/>
      <c r="CM36" s="613">
        <f t="shared" si="6"/>
        <v>0</v>
      </c>
      <c r="CR36" s="70"/>
      <c r="CS36" s="70"/>
      <c r="CT36" s="70"/>
      <c r="CU36" s="70"/>
      <c r="CV36" s="70"/>
      <c r="CW36" s="125">
        <v>6</v>
      </c>
      <c r="CX36" s="70"/>
      <c r="CY36" s="70"/>
      <c r="CZ36" s="70"/>
      <c r="DA36" s="70"/>
      <c r="DB36" s="70"/>
      <c r="DC36" s="70"/>
    </row>
    <row r="37" spans="1:107" s="614" customFormat="1" ht="89.25" x14ac:dyDescent="0.2">
      <c r="A37" s="828">
        <v>11900</v>
      </c>
      <c r="B37" s="689" t="s">
        <v>125</v>
      </c>
      <c r="C37" s="689" t="s">
        <v>330</v>
      </c>
      <c r="D37" s="689"/>
      <c r="E37" s="689" t="s">
        <v>1023</v>
      </c>
      <c r="F37" s="689" t="s">
        <v>1023</v>
      </c>
      <c r="G37" s="689"/>
      <c r="H37" s="689"/>
      <c r="I37" s="689"/>
      <c r="J37" s="689"/>
      <c r="K37" s="689"/>
      <c r="L37" s="689"/>
      <c r="M37" s="689"/>
      <c r="N37" s="689"/>
      <c r="O37" s="689"/>
      <c r="P37" s="689"/>
      <c r="Q37" s="689" t="s">
        <v>204</v>
      </c>
      <c r="R37" s="689" t="s">
        <v>204</v>
      </c>
      <c r="S37" s="694" t="s">
        <v>126</v>
      </c>
      <c r="T37" s="689" t="s">
        <v>60</v>
      </c>
      <c r="U37" s="689" t="s">
        <v>204</v>
      </c>
      <c r="V37" s="689" t="s">
        <v>204</v>
      </c>
      <c r="W37" s="694" t="s">
        <v>937</v>
      </c>
      <c r="X37" s="689" t="s">
        <v>1629</v>
      </c>
      <c r="Y37" s="608" t="s">
        <v>51</v>
      </c>
      <c r="Z37" s="925">
        <v>0.25</v>
      </c>
      <c r="AA37" s="694" t="s">
        <v>630</v>
      </c>
      <c r="AB37" s="723" t="s">
        <v>449</v>
      </c>
      <c r="AC37" s="705">
        <v>48960000</v>
      </c>
      <c r="AD37" s="615">
        <v>1</v>
      </c>
      <c r="AE37" s="689" t="s">
        <v>17</v>
      </c>
      <c r="AF37" s="689" t="s">
        <v>28</v>
      </c>
      <c r="AG37" s="689" t="s">
        <v>204</v>
      </c>
      <c r="AH37" s="689" t="s">
        <v>638</v>
      </c>
      <c r="AI37" s="689" t="s">
        <v>1039</v>
      </c>
      <c r="AJ37" s="689" t="s">
        <v>204</v>
      </c>
      <c r="AK37" s="689" t="s">
        <v>1786</v>
      </c>
      <c r="AL37" s="689"/>
      <c r="AM37" s="925">
        <f>+Z37</f>
        <v>0.25</v>
      </c>
      <c r="AN37" s="689" t="str">
        <f t="shared" ref="AN37:AO39" si="41">+AB37</f>
        <v xml:space="preserve">Apoyar a la Oficina Asesora Jurídica en las actividades relacionadas con el ejercicio de las funciones de la Secretaría Técnica  del Comité de Conciliación;  y en las actividades propias de dicho organismo en el Ekogui. </v>
      </c>
      <c r="AO37" s="704">
        <f t="shared" si="41"/>
        <v>48960000</v>
      </c>
      <c r="AP37" s="723" t="s">
        <v>46</v>
      </c>
      <c r="AQ37" s="615">
        <v>0.25</v>
      </c>
      <c r="AR37" s="689" t="str">
        <f>+AN37</f>
        <v xml:space="preserve">Apoyar a la Oficina Asesora Jurídica en las actividades relacionadas con el ejercicio de las funciones de la Secretaría Técnica  del Comité de Conciliación;  y en las actividades propias de dicho organismo en el Ekogui. </v>
      </c>
      <c r="AS37" s="696">
        <f>+AO37/4</f>
        <v>12240000</v>
      </c>
      <c r="AT37" s="615">
        <f>1/5*25%</f>
        <v>0.05</v>
      </c>
      <c r="AU37" s="924">
        <v>6664000</v>
      </c>
      <c r="AV37" s="692">
        <f t="shared" si="0"/>
        <v>0.2</v>
      </c>
      <c r="AW37" s="692">
        <f>+(AU37/AS37)</f>
        <v>0.5444444444444444</v>
      </c>
      <c r="AX37" s="692">
        <f t="shared" si="1"/>
        <v>0.2</v>
      </c>
      <c r="AY37" s="692">
        <f>+(AU37/AO37)</f>
        <v>0.1361111111111111</v>
      </c>
      <c r="AZ37" s="615" t="s">
        <v>1412</v>
      </c>
      <c r="BA37" s="615">
        <v>0.25</v>
      </c>
      <c r="BB37" s="689" t="str">
        <f>+AN37</f>
        <v xml:space="preserve">Apoyar a la Oficina Asesora Jurídica en las actividades relacionadas con el ejercicio de las funciones de la Secretaría Técnica  del Comité de Conciliación;  y en las actividades propias de dicho organismo en el Ekogui. </v>
      </c>
      <c r="BC37" s="696">
        <f>+AO37/4</f>
        <v>12240000</v>
      </c>
      <c r="BD37" s="608"/>
      <c r="BE37" s="696"/>
      <c r="BF37" s="692">
        <f t="shared" si="35"/>
        <v>0</v>
      </c>
      <c r="BG37" s="692">
        <f>+(BE37/BC37)</f>
        <v>0</v>
      </c>
      <c r="BH37" s="692">
        <f t="shared" si="36"/>
        <v>0.2</v>
      </c>
      <c r="BI37" s="692">
        <f>+(BE37+AU37)/AO37</f>
        <v>0.1361111111111111</v>
      </c>
      <c r="BJ37" s="762"/>
      <c r="BK37" s="615">
        <v>0.25</v>
      </c>
      <c r="BL37" s="689" t="str">
        <f>+AN37</f>
        <v xml:space="preserve">Apoyar a la Oficina Asesora Jurídica en las actividades relacionadas con el ejercicio de las funciones de la Secretaría Técnica  del Comité de Conciliación;  y en las actividades propias de dicho organismo en el Ekogui. </v>
      </c>
      <c r="BM37" s="696">
        <f>+AO37/4</f>
        <v>12240000</v>
      </c>
      <c r="BN37" s="694"/>
      <c r="BO37" s="694"/>
      <c r="BP37" s="692">
        <f t="shared" si="37"/>
        <v>0</v>
      </c>
      <c r="BQ37" s="692">
        <f>+(BO37/BM37)</f>
        <v>0</v>
      </c>
      <c r="BR37" s="692">
        <f t="shared" si="38"/>
        <v>0.2</v>
      </c>
      <c r="BS37" s="692">
        <f>+(BE37+AU37+BO37)/AO37</f>
        <v>0.1361111111111111</v>
      </c>
      <c r="BT37" s="692"/>
      <c r="BU37" s="615">
        <v>0.25</v>
      </c>
      <c r="BV37" s="689" t="str">
        <f>+AN37</f>
        <v xml:space="preserve">Apoyar a la Oficina Asesora Jurídica en las actividades relacionadas con el ejercicio de las funciones de la Secretaría Técnica  del Comité de Conciliación;  y en las actividades propias de dicho organismo en el Ekogui. </v>
      </c>
      <c r="BW37" s="696">
        <f>+AO37/4</f>
        <v>12240000</v>
      </c>
      <c r="BX37" s="694"/>
      <c r="BY37" s="694"/>
      <c r="BZ37" s="707">
        <f t="shared" si="39"/>
        <v>0</v>
      </c>
      <c r="CA37" s="707">
        <f>+(BY37/BW37)</f>
        <v>0</v>
      </c>
      <c r="CB37" s="707">
        <f t="shared" si="40"/>
        <v>0.2</v>
      </c>
      <c r="CC37" s="707">
        <f>+(BE37+AU37+BO37+BY37)/AO37</f>
        <v>0.1361111111111111</v>
      </c>
      <c r="CD37" s="707"/>
      <c r="CE37" s="697">
        <f t="shared" ref="CE37" si="42">IF(AND(AQ37=0,AT37=0),"No Prog ni Ejec",IF(AQ37=0,CONCATENATE("No Prog, Ejec=  ",AT37),AT37/AQ37))</f>
        <v>0.2</v>
      </c>
      <c r="CF37" s="697">
        <f>IF(AND(AS37=0,AU37=0),"No Prog ni Ejec",IF(AS37=0,CONCATENATE("No Prog, Ejec=  ",AU37),AU37/AS37))</f>
        <v>0.5444444444444444</v>
      </c>
      <c r="CG37" s="697">
        <f t="shared" ref="CG37" si="43">IF(AND(BA37=0,BD37=0),"No Prog ni Ejec",IF(BA37=0,CONCATENATE("No Prog, Ejec=  ",BD37),BD37/BA37))</f>
        <v>0</v>
      </c>
      <c r="CH37" s="697">
        <f>IF(AND(BC37=0,BE37=0),"No Prog ni Ejec",IF(BC37=0,CONCATENATE("No Prog, Ejec=  ",BE37),BE37/BC37))</f>
        <v>0</v>
      </c>
      <c r="CI37" s="697">
        <f t="shared" ref="CI37" si="44">IF(AND(BK37=0,BN37=0),"No Prog ni Ejec",IF(BK37=0,CONCATENATE("No Prog, Ejec=  ",BN37),BN37/BK37))</f>
        <v>0</v>
      </c>
      <c r="CJ37" s="697">
        <f>IF(AND(BM37=0,BO37=0),"No Prog ni Ejec",IF(BM37=0,CONCATENATE("No Prog, Ejec=  ",BO37),BO37/BM37))</f>
        <v>0</v>
      </c>
      <c r="CK37" s="697">
        <f t="shared" ref="CK37" si="45">IF(AND(BU37=0,BX37=0),"No Prog ni Ejec",IF(BU37=0,CONCATENATE("No Prog, Ejec=  ",BX37),BX37/BU37))</f>
        <v>0</v>
      </c>
      <c r="CL37" s="786">
        <f>IF(AND(BW37=0,BY37=0),"No Prog ni Ejec",IF(BW37=0,CONCATENATE("No Prog, Ejec=  ",BY37),BY37/BW37))</f>
        <v>0</v>
      </c>
      <c r="CM37" s="613"/>
      <c r="CW37" s="923"/>
    </row>
    <row r="38" spans="1:107" s="70" customFormat="1" ht="89.25" x14ac:dyDescent="0.2">
      <c r="A38" s="785">
        <v>11900</v>
      </c>
      <c r="B38" s="693" t="s">
        <v>125</v>
      </c>
      <c r="C38" s="693" t="s">
        <v>330</v>
      </c>
      <c r="D38" s="693"/>
      <c r="E38" s="693" t="s">
        <v>1023</v>
      </c>
      <c r="F38" s="693" t="s">
        <v>1023</v>
      </c>
      <c r="G38" s="693"/>
      <c r="H38" s="693"/>
      <c r="I38" s="693"/>
      <c r="J38" s="693"/>
      <c r="K38" s="693"/>
      <c r="L38" s="693"/>
      <c r="M38" s="693"/>
      <c r="N38" s="693"/>
      <c r="O38" s="693"/>
      <c r="P38" s="693"/>
      <c r="Q38" s="693" t="s">
        <v>204</v>
      </c>
      <c r="R38" s="693" t="s">
        <v>204</v>
      </c>
      <c r="S38" s="695" t="s">
        <v>126</v>
      </c>
      <c r="T38" s="693" t="s">
        <v>60</v>
      </c>
      <c r="U38" s="693" t="s">
        <v>204</v>
      </c>
      <c r="V38" s="693" t="s">
        <v>204</v>
      </c>
      <c r="W38" s="695" t="s">
        <v>937</v>
      </c>
      <c r="X38" s="693" t="s">
        <v>1629</v>
      </c>
      <c r="Y38" s="716" t="s">
        <v>51</v>
      </c>
      <c r="Z38" s="627">
        <v>0.75</v>
      </c>
      <c r="AA38" s="695" t="s">
        <v>630</v>
      </c>
      <c r="AB38" s="700" t="s">
        <v>449</v>
      </c>
      <c r="AC38" s="603">
        <v>0</v>
      </c>
      <c r="AD38" s="706">
        <v>1</v>
      </c>
      <c r="AE38" s="693" t="s">
        <v>17</v>
      </c>
      <c r="AF38" s="693" t="s">
        <v>28</v>
      </c>
      <c r="AG38" s="693" t="s">
        <v>204</v>
      </c>
      <c r="AH38" s="693" t="s">
        <v>638</v>
      </c>
      <c r="AI38" s="693" t="s">
        <v>1039</v>
      </c>
      <c r="AJ38" s="693" t="s">
        <v>204</v>
      </c>
      <c r="AK38" s="702" t="s">
        <v>1560</v>
      </c>
      <c r="AL38" s="693" t="s">
        <v>204</v>
      </c>
      <c r="AM38" s="926">
        <f>+Z38</f>
        <v>0.75</v>
      </c>
      <c r="AN38" s="693" t="str">
        <f t="shared" si="41"/>
        <v xml:space="preserve">Apoyar a la Oficina Asesora Jurídica en las actividades relacionadas con el ejercicio de las funciones de la Secretaría Técnica  del Comité de Conciliación;  y en las actividades propias de dicho organismo en el Ekogui. </v>
      </c>
      <c r="AO38" s="703">
        <f t="shared" si="41"/>
        <v>0</v>
      </c>
      <c r="AP38" s="700" t="s">
        <v>48</v>
      </c>
      <c r="AQ38" s="698" t="s">
        <v>204</v>
      </c>
      <c r="AR38" s="693" t="str">
        <f>+AN38</f>
        <v xml:space="preserve">Apoyar a la Oficina Asesora Jurídica en las actividades relacionadas con el ejercicio de las funciones de la Secretaría Técnica  del Comité de Conciliación;  y en las actividades propias de dicho organismo en el Ekogui. </v>
      </c>
      <c r="AS38" s="691">
        <f>+AO38/4</f>
        <v>0</v>
      </c>
      <c r="AT38" s="706" t="s">
        <v>204</v>
      </c>
      <c r="AU38" s="558" t="s">
        <v>204</v>
      </c>
      <c r="AV38" s="690" t="e">
        <f t="shared" si="0"/>
        <v>#VALUE!</v>
      </c>
      <c r="AW38" s="690" t="e">
        <f>+(AU38/AS38)</f>
        <v>#VALUE!</v>
      </c>
      <c r="AX38" s="690" t="e">
        <f t="shared" si="1"/>
        <v>#VALUE!</v>
      </c>
      <c r="AY38" s="690" t="e">
        <f>+(AU38/AO38)</f>
        <v>#VALUE!</v>
      </c>
      <c r="AZ38" s="486"/>
      <c r="BA38" s="698">
        <v>0.25</v>
      </c>
      <c r="BB38" s="693" t="str">
        <f>+AN38</f>
        <v xml:space="preserve">Apoyar a la Oficina Asesora Jurídica en las actividades relacionadas con el ejercicio de las funciones de la Secretaría Técnica  del Comité de Conciliación;  y en las actividades propias de dicho organismo en el Ekogui. </v>
      </c>
      <c r="BC38" s="691">
        <f>+AO38/4</f>
        <v>0</v>
      </c>
      <c r="BD38" s="515">
        <f>(5/5*25%)</f>
        <v>0.25</v>
      </c>
      <c r="BE38" s="691">
        <v>0</v>
      </c>
      <c r="BF38" s="690">
        <f t="shared" si="35"/>
        <v>1</v>
      </c>
      <c r="BG38" s="690" t="e">
        <f>+(BE38/BC38)</f>
        <v>#DIV/0!</v>
      </c>
      <c r="BH38" s="690">
        <f>+(BD38)/AM38</f>
        <v>0.33333333333333331</v>
      </c>
      <c r="BI38" s="690" t="e">
        <f>+(BE38+AU38)/AO38</f>
        <v>#VALUE!</v>
      </c>
      <c r="BJ38" s="512" t="s">
        <v>1743</v>
      </c>
      <c r="BK38" s="698">
        <v>0.25</v>
      </c>
      <c r="BL38" s="693" t="str">
        <f>+AN38</f>
        <v xml:space="preserve">Apoyar a la Oficina Asesora Jurídica en las actividades relacionadas con el ejercicio de las funciones de la Secretaría Técnica  del Comité de Conciliación;  y en las actividades propias de dicho organismo en el Ekogui. </v>
      </c>
      <c r="BM38" s="691">
        <f>+AO38/4</f>
        <v>0</v>
      </c>
      <c r="BN38" s="695"/>
      <c r="BO38" s="695"/>
      <c r="BP38" s="690">
        <f t="shared" si="37"/>
        <v>0</v>
      </c>
      <c r="BQ38" s="690" t="e">
        <f>+(BO38/BM38)</f>
        <v>#DIV/0!</v>
      </c>
      <c r="BR38" s="690">
        <f>+(BD38+BN38)/AM38</f>
        <v>0.33333333333333331</v>
      </c>
      <c r="BS38" s="690" t="e">
        <f>+(BE38+AU38+BO38)/AO38</f>
        <v>#VALUE!</v>
      </c>
      <c r="BT38" s="690"/>
      <c r="BU38" s="698">
        <v>0.25</v>
      </c>
      <c r="BV38" s="693" t="str">
        <f>+AN38</f>
        <v xml:space="preserve">Apoyar a la Oficina Asesora Jurídica en las actividades relacionadas con el ejercicio de las funciones de la Secretaría Técnica  del Comité de Conciliación;  y en las actividades propias de dicho organismo en el Ekogui. </v>
      </c>
      <c r="BW38" s="691">
        <f>+AO38/4</f>
        <v>0</v>
      </c>
      <c r="BX38" s="695"/>
      <c r="BY38" s="695"/>
      <c r="BZ38" s="698">
        <f t="shared" si="39"/>
        <v>0</v>
      </c>
      <c r="CA38" s="698" t="e">
        <f>+(BY38/BW38)</f>
        <v>#DIV/0!</v>
      </c>
      <c r="CB38" s="698">
        <f>+(BD38+BN38+BX38)/AM38</f>
        <v>0.33333333333333331</v>
      </c>
      <c r="CC38" s="698" t="e">
        <f>+(BE38+AU38+BO38+BY38)/AO38</f>
        <v>#VALUE!</v>
      </c>
      <c r="CD38" s="698"/>
      <c r="CE38" s="697" t="e">
        <f t="shared" si="2"/>
        <v>#VALUE!</v>
      </c>
      <c r="CF38" s="697" t="str">
        <f>IF(AND(AS38=0,AU38=0),"No Prog ni Ejec",IF(AS38=0,CONCATENATE("No Prog, Ejec=  ",AU38),AU38/AS38))</f>
        <v>No Prog, Ejec=  N.A</v>
      </c>
      <c r="CG38" s="697">
        <f t="shared" si="3"/>
        <v>1</v>
      </c>
      <c r="CH38" s="697" t="str">
        <f>IF(AND(BC38=0,BE38=0),"No Prog ni Ejec",IF(BC38=0,CONCATENATE("No Prog, Ejec=  ",BE38),BE38/BC38))</f>
        <v>No Prog ni Ejec</v>
      </c>
      <c r="CI38" s="697">
        <f t="shared" si="4"/>
        <v>0</v>
      </c>
      <c r="CJ38" s="697" t="str">
        <f>IF(AND(BM38=0,BO38=0),"No Prog ni Ejec",IF(BM38=0,CONCATENATE("No Prog, Ejec=  ",BO38),BO38/BM38))</f>
        <v>No Prog ni Ejec</v>
      </c>
      <c r="CK38" s="697">
        <f t="shared" si="5"/>
        <v>0</v>
      </c>
      <c r="CL38" s="786" t="str">
        <f>IF(AND(BW38=0,BY38=0),"No Prog ni Ejec",IF(BW38=0,CONCATENATE("No Prog, Ejec=  ",BY38),BY38/BW38))</f>
        <v>No Prog ni Ejec</v>
      </c>
      <c r="CM38" s="136">
        <f t="shared" si="6"/>
        <v>0</v>
      </c>
      <c r="CW38" s="125">
        <v>6</v>
      </c>
    </row>
    <row r="39" spans="1:107" s="70" customFormat="1" ht="51" x14ac:dyDescent="0.2">
      <c r="A39" s="785">
        <v>11900</v>
      </c>
      <c r="B39" s="693" t="s">
        <v>125</v>
      </c>
      <c r="C39" s="693" t="s">
        <v>330</v>
      </c>
      <c r="D39" s="693"/>
      <c r="E39" s="693" t="s">
        <v>1023</v>
      </c>
      <c r="F39" s="693" t="s">
        <v>1023</v>
      </c>
      <c r="G39" s="693"/>
      <c r="H39" s="693"/>
      <c r="I39" s="693"/>
      <c r="J39" s="693"/>
      <c r="K39" s="693"/>
      <c r="L39" s="693"/>
      <c r="M39" s="693"/>
      <c r="N39" s="693"/>
      <c r="O39" s="693"/>
      <c r="P39" s="693"/>
      <c r="Q39" s="693" t="s">
        <v>204</v>
      </c>
      <c r="R39" s="693" t="s">
        <v>204</v>
      </c>
      <c r="S39" s="695" t="s">
        <v>126</v>
      </c>
      <c r="T39" s="693" t="s">
        <v>60</v>
      </c>
      <c r="U39" s="693" t="s">
        <v>204</v>
      </c>
      <c r="V39" s="693" t="s">
        <v>204</v>
      </c>
      <c r="W39" s="695" t="s">
        <v>654</v>
      </c>
      <c r="X39" s="693" t="s">
        <v>451</v>
      </c>
      <c r="Y39" s="716" t="s">
        <v>51</v>
      </c>
      <c r="Z39" s="698">
        <v>1</v>
      </c>
      <c r="AA39" s="968" t="s">
        <v>653</v>
      </c>
      <c r="AB39" s="1097" t="s">
        <v>450</v>
      </c>
      <c r="AC39" s="1060">
        <v>27093804</v>
      </c>
      <c r="AD39" s="706">
        <v>1</v>
      </c>
      <c r="AE39" s="693" t="s">
        <v>17</v>
      </c>
      <c r="AF39" s="693" t="s">
        <v>28</v>
      </c>
      <c r="AG39" s="693" t="s">
        <v>204</v>
      </c>
      <c r="AH39" s="693" t="s">
        <v>638</v>
      </c>
      <c r="AI39" s="693" t="s">
        <v>1039</v>
      </c>
      <c r="AJ39" s="1076" t="s">
        <v>204</v>
      </c>
      <c r="AK39" s="693" t="s">
        <v>452</v>
      </c>
      <c r="AL39" s="693" t="s">
        <v>204</v>
      </c>
      <c r="AM39" s="698">
        <v>1</v>
      </c>
      <c r="AN39" s="959" t="str">
        <f t="shared" si="41"/>
        <v>Apoyo a las actividades administrativas y operativas  requeridas por el Grupo de Representación Judicial</v>
      </c>
      <c r="AO39" s="965">
        <f t="shared" si="41"/>
        <v>27093804</v>
      </c>
      <c r="AP39" s="700" t="s">
        <v>46</v>
      </c>
      <c r="AQ39" s="698">
        <v>0.25</v>
      </c>
      <c r="AR39" s="959" t="str">
        <f>+AN39</f>
        <v>Apoyo a las actividades administrativas y operativas  requeridas por el Grupo de Representación Judicial</v>
      </c>
      <c r="AS39" s="965">
        <f>+AO39/4</f>
        <v>6773451</v>
      </c>
      <c r="AT39" s="706">
        <f>641/641*25%</f>
        <v>0.25</v>
      </c>
      <c r="AU39" s="968" t="s">
        <v>1397</v>
      </c>
      <c r="AV39" s="690">
        <f t="shared" si="0"/>
        <v>1</v>
      </c>
      <c r="AW39" s="960">
        <f>+(AU39/AS39)</f>
        <v>0.66666651903143614</v>
      </c>
      <c r="AX39" s="690">
        <f t="shared" si="1"/>
        <v>0.25</v>
      </c>
      <c r="AY39" s="960">
        <f>+(AU39/AO39)</f>
        <v>0.16666662975785904</v>
      </c>
      <c r="AZ39" s="486" t="s">
        <v>1413</v>
      </c>
      <c r="BA39" s="698">
        <v>0.25</v>
      </c>
      <c r="BB39" s="959" t="str">
        <f>+AN39</f>
        <v>Apoyo a las actividades administrativas y operativas  requeridas por el Grupo de Representación Judicial</v>
      </c>
      <c r="BC39" s="965">
        <f>+AO39/4</f>
        <v>6773451</v>
      </c>
      <c r="BD39" s="515">
        <f>(1501/1501*25%)</f>
        <v>0.25</v>
      </c>
      <c r="BE39" s="963">
        <v>7389219</v>
      </c>
      <c r="BF39" s="690">
        <f t="shared" si="35"/>
        <v>1</v>
      </c>
      <c r="BG39" s="960">
        <f>+(BE39/BC39)</f>
        <v>1.090909050644937</v>
      </c>
      <c r="BH39" s="690">
        <f t="shared" si="36"/>
        <v>0.5</v>
      </c>
      <c r="BI39" s="960">
        <f>+(BE39+AU39)/AO39</f>
        <v>0.43939389241909332</v>
      </c>
      <c r="BJ39" s="512"/>
      <c r="BK39" s="698">
        <v>0.25</v>
      </c>
      <c r="BL39" s="959" t="str">
        <f>+AN39</f>
        <v>Apoyo a las actividades administrativas y operativas  requeridas por el Grupo de Representación Judicial</v>
      </c>
      <c r="BM39" s="965">
        <f>+AO39/4</f>
        <v>6773451</v>
      </c>
      <c r="BN39" s="695"/>
      <c r="BO39" s="968"/>
      <c r="BP39" s="690">
        <f t="shared" si="37"/>
        <v>0</v>
      </c>
      <c r="BQ39" s="960">
        <f>+(BO39/BM39)</f>
        <v>0</v>
      </c>
      <c r="BR39" s="690">
        <f t="shared" si="38"/>
        <v>0.5</v>
      </c>
      <c r="BS39" s="960">
        <f>+(BE39+AU39+BO39)/AO39</f>
        <v>0.43939389241909332</v>
      </c>
      <c r="BT39" s="690"/>
      <c r="BU39" s="698">
        <v>0.25</v>
      </c>
      <c r="BV39" s="959" t="str">
        <f>+AN39</f>
        <v>Apoyo a las actividades administrativas y operativas  requeridas por el Grupo de Representación Judicial</v>
      </c>
      <c r="BW39" s="965">
        <f>+AO39/4</f>
        <v>6773451</v>
      </c>
      <c r="BX39" s="695"/>
      <c r="BY39" s="968"/>
      <c r="BZ39" s="698">
        <f t="shared" si="39"/>
        <v>0</v>
      </c>
      <c r="CA39" s="957">
        <f>+(BY39/BW39)</f>
        <v>0</v>
      </c>
      <c r="CB39" s="698">
        <f t="shared" si="40"/>
        <v>0.5</v>
      </c>
      <c r="CC39" s="957">
        <f>+(BE39+AU39+BO39+BY39)/AO39</f>
        <v>0.43939389241909332</v>
      </c>
      <c r="CD39" s="698"/>
      <c r="CE39" s="697">
        <f t="shared" si="2"/>
        <v>1</v>
      </c>
      <c r="CF39" s="1018">
        <f>IF(AND(AS39=0,AU39=0),"No Prog ni Ejec",IF(AS39=0,CONCATENATE("No Prog, Ejec=  ",AU39),AU39/AS39))</f>
        <v>0.66666651903143614</v>
      </c>
      <c r="CG39" s="697">
        <f t="shared" si="3"/>
        <v>1</v>
      </c>
      <c r="CH39" s="1018">
        <f>IF(AND(BC39=0,BE39=0),"No Prog ni Ejec",IF(BC39=0,CONCATENATE("No Prog, Ejec=  ",BE39),BE39/BC39))</f>
        <v>1.090909050644937</v>
      </c>
      <c r="CI39" s="697">
        <f t="shared" si="4"/>
        <v>0</v>
      </c>
      <c r="CJ39" s="1018">
        <f>IF(AND(BM39=0,BO39=0),"No Prog ni Ejec",IF(BM39=0,CONCATENATE("No Prog, Ejec=  ",BO39),BO39/BM39))</f>
        <v>0</v>
      </c>
      <c r="CK39" s="697">
        <f t="shared" si="5"/>
        <v>0</v>
      </c>
      <c r="CL39" s="1017">
        <f>IF(AND(BW39=0,BY39=0),"No Prog ni Ejec",IF(BW39=0,CONCATENATE("No Prog, Ejec=  ",BY39),BY39/BW39))</f>
        <v>0</v>
      </c>
      <c r="CM39" s="136">
        <f t="shared" si="6"/>
        <v>0</v>
      </c>
      <c r="CW39" s="125">
        <v>6</v>
      </c>
    </row>
    <row r="40" spans="1:107" s="70" customFormat="1" ht="51" x14ac:dyDescent="0.2">
      <c r="A40" s="785">
        <v>11900</v>
      </c>
      <c r="B40" s="693" t="s">
        <v>125</v>
      </c>
      <c r="C40" s="693" t="s">
        <v>330</v>
      </c>
      <c r="D40" s="693"/>
      <c r="E40" s="693" t="s">
        <v>1023</v>
      </c>
      <c r="F40" s="693" t="s">
        <v>1023</v>
      </c>
      <c r="G40" s="693"/>
      <c r="H40" s="693"/>
      <c r="I40" s="693"/>
      <c r="J40" s="693"/>
      <c r="K40" s="693"/>
      <c r="L40" s="693"/>
      <c r="M40" s="693"/>
      <c r="N40" s="693"/>
      <c r="O40" s="693"/>
      <c r="P40" s="693"/>
      <c r="Q40" s="693" t="s">
        <v>204</v>
      </c>
      <c r="R40" s="693" t="s">
        <v>204</v>
      </c>
      <c r="S40" s="695" t="s">
        <v>126</v>
      </c>
      <c r="T40" s="693" t="s">
        <v>60</v>
      </c>
      <c r="U40" s="693" t="s">
        <v>204</v>
      </c>
      <c r="V40" s="693" t="s">
        <v>204</v>
      </c>
      <c r="W40" s="695" t="s">
        <v>938</v>
      </c>
      <c r="X40" s="693" t="s">
        <v>453</v>
      </c>
      <c r="Y40" s="716" t="s">
        <v>51</v>
      </c>
      <c r="Z40" s="698">
        <v>1</v>
      </c>
      <c r="AA40" s="968"/>
      <c r="AB40" s="1097"/>
      <c r="AC40" s="1060"/>
      <c r="AD40" s="706">
        <v>1</v>
      </c>
      <c r="AE40" s="693" t="s">
        <v>17</v>
      </c>
      <c r="AF40" s="693" t="s">
        <v>28</v>
      </c>
      <c r="AG40" s="693" t="s">
        <v>204</v>
      </c>
      <c r="AH40" s="693" t="s">
        <v>638</v>
      </c>
      <c r="AI40" s="693" t="s">
        <v>1039</v>
      </c>
      <c r="AJ40" s="1076"/>
      <c r="AK40" s="693" t="s">
        <v>454</v>
      </c>
      <c r="AL40" s="693" t="s">
        <v>204</v>
      </c>
      <c r="AM40" s="698">
        <v>1</v>
      </c>
      <c r="AN40" s="959"/>
      <c r="AO40" s="965"/>
      <c r="AP40" s="700" t="s">
        <v>46</v>
      </c>
      <c r="AQ40" s="698">
        <v>0.25</v>
      </c>
      <c r="AR40" s="959"/>
      <c r="AS40" s="965"/>
      <c r="AT40" s="706">
        <f>(899/899)*25%</f>
        <v>0.25</v>
      </c>
      <c r="AU40" s="968"/>
      <c r="AV40" s="690">
        <f t="shared" si="0"/>
        <v>1</v>
      </c>
      <c r="AW40" s="960"/>
      <c r="AX40" s="690">
        <f t="shared" si="1"/>
        <v>0.25</v>
      </c>
      <c r="AY40" s="960"/>
      <c r="AZ40" s="486" t="s">
        <v>1414</v>
      </c>
      <c r="BA40" s="698">
        <v>0.25</v>
      </c>
      <c r="BB40" s="959"/>
      <c r="BC40" s="965"/>
      <c r="BD40" s="515">
        <f>(212/212*25%)</f>
        <v>0.25</v>
      </c>
      <c r="BE40" s="963"/>
      <c r="BF40" s="690">
        <f t="shared" si="35"/>
        <v>1</v>
      </c>
      <c r="BG40" s="960"/>
      <c r="BH40" s="690">
        <f t="shared" si="36"/>
        <v>0.5</v>
      </c>
      <c r="BI40" s="960"/>
      <c r="BJ40" s="512"/>
      <c r="BK40" s="698">
        <v>0.25</v>
      </c>
      <c r="BL40" s="959"/>
      <c r="BM40" s="965"/>
      <c r="BN40" s="695"/>
      <c r="BO40" s="968"/>
      <c r="BP40" s="690">
        <f t="shared" si="37"/>
        <v>0</v>
      </c>
      <c r="BQ40" s="960"/>
      <c r="BR40" s="690">
        <f t="shared" si="38"/>
        <v>0.5</v>
      </c>
      <c r="BS40" s="960"/>
      <c r="BT40" s="690"/>
      <c r="BU40" s="698">
        <v>0.25</v>
      </c>
      <c r="BV40" s="959"/>
      <c r="BW40" s="965"/>
      <c r="BX40" s="695"/>
      <c r="BY40" s="968"/>
      <c r="BZ40" s="698">
        <f t="shared" si="39"/>
        <v>0</v>
      </c>
      <c r="CA40" s="957"/>
      <c r="CB40" s="698">
        <f t="shared" si="40"/>
        <v>0.5</v>
      </c>
      <c r="CC40" s="957"/>
      <c r="CD40" s="698"/>
      <c r="CE40" s="697">
        <f t="shared" si="2"/>
        <v>1</v>
      </c>
      <c r="CF40" s="1018"/>
      <c r="CG40" s="697">
        <f t="shared" si="3"/>
        <v>1</v>
      </c>
      <c r="CH40" s="1018"/>
      <c r="CI40" s="697">
        <f t="shared" si="4"/>
        <v>0</v>
      </c>
      <c r="CJ40" s="1018"/>
      <c r="CK40" s="697">
        <f t="shared" si="5"/>
        <v>0</v>
      </c>
      <c r="CL40" s="1017"/>
      <c r="CM40" s="136">
        <f t="shared" si="6"/>
        <v>0</v>
      </c>
      <c r="CW40" s="125">
        <v>6</v>
      </c>
    </row>
    <row r="41" spans="1:107" s="70" customFormat="1" ht="102" x14ac:dyDescent="0.2">
      <c r="A41" s="785">
        <v>11900</v>
      </c>
      <c r="B41" s="693" t="s">
        <v>125</v>
      </c>
      <c r="C41" s="693" t="s">
        <v>330</v>
      </c>
      <c r="D41" s="693"/>
      <c r="E41" s="693" t="s">
        <v>1023</v>
      </c>
      <c r="F41" s="693" t="s">
        <v>1023</v>
      </c>
      <c r="G41" s="693"/>
      <c r="H41" s="693"/>
      <c r="I41" s="693"/>
      <c r="J41" s="693"/>
      <c r="K41" s="693"/>
      <c r="L41" s="693"/>
      <c r="M41" s="693"/>
      <c r="N41" s="693"/>
      <c r="O41" s="693"/>
      <c r="P41" s="693"/>
      <c r="Q41" s="693" t="s">
        <v>204</v>
      </c>
      <c r="R41" s="693" t="s">
        <v>204</v>
      </c>
      <c r="S41" s="695" t="s">
        <v>126</v>
      </c>
      <c r="T41" s="693" t="s">
        <v>60</v>
      </c>
      <c r="U41" s="693" t="s">
        <v>204</v>
      </c>
      <c r="V41" s="693" t="s">
        <v>204</v>
      </c>
      <c r="W41" s="695" t="s">
        <v>1306</v>
      </c>
      <c r="X41" s="693" t="s">
        <v>465</v>
      </c>
      <c r="Y41" s="716" t="s">
        <v>51</v>
      </c>
      <c r="Z41" s="698">
        <v>1</v>
      </c>
      <c r="AA41" s="695" t="s">
        <v>655</v>
      </c>
      <c r="AB41" s="693" t="s">
        <v>463</v>
      </c>
      <c r="AC41" s="691">
        <v>272704248</v>
      </c>
      <c r="AD41" s="706">
        <v>1</v>
      </c>
      <c r="AE41" s="693" t="s">
        <v>17</v>
      </c>
      <c r="AF41" s="693" t="s">
        <v>28</v>
      </c>
      <c r="AG41" s="693" t="s">
        <v>204</v>
      </c>
      <c r="AH41" s="693" t="s">
        <v>638</v>
      </c>
      <c r="AI41" s="693" t="s">
        <v>1047</v>
      </c>
      <c r="AJ41" s="693" t="s">
        <v>1294</v>
      </c>
      <c r="AK41" s="693" t="s">
        <v>464</v>
      </c>
      <c r="AL41" s="693" t="s">
        <v>204</v>
      </c>
      <c r="AM41" s="706">
        <v>1</v>
      </c>
      <c r="AN41" s="693" t="str">
        <f t="shared" ref="AN41:AN52" si="46">+AB41</f>
        <v xml:space="preserve">Tramitar las acciones constitucionales y demás asuntos derivados de éstas, que se instauren contra la Administradora de los Recursos del Sistema General de Seguridad Social en Salud - ADRES o contra el entonces FOSYGA. </v>
      </c>
      <c r="AO41" s="703">
        <f t="shared" ref="AO41:AO52" si="47">+AC41</f>
        <v>272704248</v>
      </c>
      <c r="AP41" s="700" t="s">
        <v>46</v>
      </c>
      <c r="AQ41" s="698">
        <v>0.25</v>
      </c>
      <c r="AR41" s="693" t="str">
        <f>+AN41</f>
        <v xml:space="preserve">Tramitar las acciones constitucionales y demás asuntos derivados de éstas, que se instauren contra la Administradora de los Recursos del Sistema General de Seguridad Social en Salud - ADRES o contra el entonces FOSYGA. </v>
      </c>
      <c r="AS41" s="691">
        <f>+AO41/4</f>
        <v>68176062</v>
      </c>
      <c r="AT41" s="698">
        <f>(28975/30113)*(25/100)</f>
        <v>0.24055225317968984</v>
      </c>
      <c r="AU41" s="695">
        <v>36478906</v>
      </c>
      <c r="AV41" s="690">
        <f t="shared" si="0"/>
        <v>0.96220901271875936</v>
      </c>
      <c r="AW41" s="690">
        <f>+(AU41/AS41)</f>
        <v>0.53506912734267342</v>
      </c>
      <c r="AX41" s="690">
        <f t="shared" si="1"/>
        <v>0.24055225317968984</v>
      </c>
      <c r="AY41" s="690">
        <f>+(AU41/AO41)</f>
        <v>0.13376728183566836</v>
      </c>
      <c r="AZ41" s="502" t="s">
        <v>1415</v>
      </c>
      <c r="BA41" s="698">
        <v>0.25</v>
      </c>
      <c r="BB41" s="693" t="str">
        <f>+AN41</f>
        <v xml:space="preserve">Tramitar las acciones constitucionales y demás asuntos derivados de éstas, que se instauren contra la Administradora de los Recursos del Sistema General de Seguridad Social en Salud - ADRES o contra el entonces FOSYGA. </v>
      </c>
      <c r="BC41" s="691">
        <f>+AO41/4</f>
        <v>68176062</v>
      </c>
      <c r="BD41" s="519">
        <f>((33634/33661)*(25/100))</f>
        <v>0.24979947119812246</v>
      </c>
      <c r="BE41" s="691">
        <v>53124814</v>
      </c>
      <c r="BF41" s="946">
        <f t="shared" si="35"/>
        <v>0.99919788479248983</v>
      </c>
      <c r="BG41" s="690">
        <f>+(BE41/BC41)</f>
        <v>0.77922972435691573</v>
      </c>
      <c r="BH41" s="690">
        <f t="shared" si="36"/>
        <v>0.49035172437781227</v>
      </c>
      <c r="BI41" s="690">
        <f>+(BE41+AU41)/AO41</f>
        <v>0.32857471292489732</v>
      </c>
      <c r="BJ41" s="512" t="s">
        <v>1744</v>
      </c>
      <c r="BK41" s="698">
        <v>0.25</v>
      </c>
      <c r="BL41" s="693" t="str">
        <f>+AN41</f>
        <v xml:space="preserve">Tramitar las acciones constitucionales y demás asuntos derivados de éstas, que se instauren contra la Administradora de los Recursos del Sistema General de Seguridad Social en Salud - ADRES o contra el entonces FOSYGA. </v>
      </c>
      <c r="BM41" s="691">
        <f>+AO41/4</f>
        <v>68176062</v>
      </c>
      <c r="BN41" s="695"/>
      <c r="BO41" s="695"/>
      <c r="BP41" s="690">
        <f t="shared" si="37"/>
        <v>0</v>
      </c>
      <c r="BQ41" s="690">
        <f>+(BO41/BM41)</f>
        <v>0</v>
      </c>
      <c r="BR41" s="690">
        <f t="shared" si="38"/>
        <v>0.49035172437781227</v>
      </c>
      <c r="BS41" s="690">
        <f>+(BE41+AU41+BO41)/AO41</f>
        <v>0.32857471292489732</v>
      </c>
      <c r="BT41" s="690"/>
      <c r="BU41" s="698">
        <v>0.25</v>
      </c>
      <c r="BV41" s="693" t="str">
        <f>+AN41</f>
        <v xml:space="preserve">Tramitar las acciones constitucionales y demás asuntos derivados de éstas, que se instauren contra la Administradora de los Recursos del Sistema General de Seguridad Social en Salud - ADRES o contra el entonces FOSYGA. </v>
      </c>
      <c r="BW41" s="691">
        <f>+AO41/4</f>
        <v>68176062</v>
      </c>
      <c r="BX41" s="695"/>
      <c r="BY41" s="695"/>
      <c r="BZ41" s="698">
        <f t="shared" si="39"/>
        <v>0</v>
      </c>
      <c r="CA41" s="698">
        <f>+(BY41/BW41)</f>
        <v>0</v>
      </c>
      <c r="CB41" s="698">
        <f t="shared" si="40"/>
        <v>0.49035172437781227</v>
      </c>
      <c r="CC41" s="698">
        <f>+(BE41+AU41+BO41+BY41)/AO41</f>
        <v>0.32857471292489732</v>
      </c>
      <c r="CD41" s="698"/>
      <c r="CE41" s="697">
        <f t="shared" si="2"/>
        <v>0.96220901271875936</v>
      </c>
      <c r="CF41" s="697">
        <f>IF(AND(AS41=0,AU41=0),"No Prog ni Ejec",IF(AS41=0,CONCATENATE("No Prog, Ejec=  ",AU41),AU41/AS41))</f>
        <v>0.53506912734267342</v>
      </c>
      <c r="CG41" s="697">
        <f t="shared" si="3"/>
        <v>0.99919788479248983</v>
      </c>
      <c r="CH41" s="697">
        <f>IF(AND(BC41=0,BE41=0),"No Prog ni Ejec",IF(BC41=0,CONCATENATE("No Prog, Ejec=  ",BE41),BE41/BC41))</f>
        <v>0.77922972435691573</v>
      </c>
      <c r="CI41" s="697">
        <f t="shared" si="4"/>
        <v>0</v>
      </c>
      <c r="CJ41" s="697">
        <f>IF(AND(BM41=0,BO41=0),"No Prog ni Ejec",IF(BM41=0,CONCATENATE("No Prog, Ejec=  ",BO41),BO41/BM41))</f>
        <v>0</v>
      </c>
      <c r="CK41" s="697">
        <f t="shared" si="5"/>
        <v>0</v>
      </c>
      <c r="CL41" s="786">
        <f>IF(AND(BW41=0,BY41=0),"No Prog ni Ejec",IF(BW41=0,CONCATENATE("No Prog, Ejec=  ",BY41),BY41/BW41))</f>
        <v>0</v>
      </c>
      <c r="CM41" s="136">
        <f t="shared" si="6"/>
        <v>0</v>
      </c>
      <c r="CW41" s="125">
        <v>6</v>
      </c>
    </row>
    <row r="42" spans="1:107" s="70" customFormat="1" ht="114.75" hidden="1" x14ac:dyDescent="0.2">
      <c r="A42" s="785">
        <v>11900</v>
      </c>
      <c r="B42" s="693" t="s">
        <v>125</v>
      </c>
      <c r="C42" s="693" t="s">
        <v>336</v>
      </c>
      <c r="D42" s="693" t="s">
        <v>1023</v>
      </c>
      <c r="E42" s="693"/>
      <c r="F42" s="693"/>
      <c r="G42" s="693"/>
      <c r="H42" s="693"/>
      <c r="I42" s="693"/>
      <c r="J42" s="693"/>
      <c r="K42" s="693"/>
      <c r="L42" s="693"/>
      <c r="M42" s="693"/>
      <c r="N42" s="693"/>
      <c r="O42" s="693"/>
      <c r="P42" s="693"/>
      <c r="Q42" s="693" t="s">
        <v>1134</v>
      </c>
      <c r="R42" s="693" t="s">
        <v>1140</v>
      </c>
      <c r="S42" s="695" t="s">
        <v>127</v>
      </c>
      <c r="T42" s="693" t="s">
        <v>94</v>
      </c>
      <c r="U42" s="693" t="s">
        <v>204</v>
      </c>
      <c r="V42" s="693" t="s">
        <v>204</v>
      </c>
      <c r="W42" s="695" t="s">
        <v>150</v>
      </c>
      <c r="X42" s="693" t="s">
        <v>1061</v>
      </c>
      <c r="Y42" s="716" t="s">
        <v>391</v>
      </c>
      <c r="Z42" s="66">
        <v>3</v>
      </c>
      <c r="AA42" s="695" t="s">
        <v>129</v>
      </c>
      <c r="AB42" s="693" t="s">
        <v>1060</v>
      </c>
      <c r="AC42" s="691">
        <v>0</v>
      </c>
      <c r="AD42" s="706">
        <v>1</v>
      </c>
      <c r="AE42" s="693" t="s">
        <v>17</v>
      </c>
      <c r="AF42" s="693" t="s">
        <v>295</v>
      </c>
      <c r="AG42" s="693" t="s">
        <v>204</v>
      </c>
      <c r="AH42" s="693" t="s">
        <v>638</v>
      </c>
      <c r="AI42" s="693" t="s">
        <v>1051</v>
      </c>
      <c r="AJ42" s="693" t="s">
        <v>1286</v>
      </c>
      <c r="AK42" s="693" t="s">
        <v>1062</v>
      </c>
      <c r="AL42" s="693" t="s">
        <v>204</v>
      </c>
      <c r="AM42" s="67">
        <v>3</v>
      </c>
      <c r="AN42" s="693" t="str">
        <f t="shared" si="46"/>
        <v>Realizar reuniones de autocontrol y seguimiento a los procesos que evidencien el monitoreo a los riesgos, indicadores, planes de mejoramiento, manuales y documentos asociados</v>
      </c>
      <c r="AO42" s="703">
        <f t="shared" si="47"/>
        <v>0</v>
      </c>
      <c r="AP42" s="700" t="s">
        <v>48</v>
      </c>
      <c r="AQ42" s="67">
        <v>0</v>
      </c>
      <c r="AR42" s="693" t="str">
        <f>+AN42</f>
        <v>Realizar reuniones de autocontrol y seguimiento a los procesos que evidencien el monitoreo a los riesgos, indicadores, planes de mejoramiento, manuales y documentos asociados</v>
      </c>
      <c r="AS42" s="691">
        <f>+AO42/4</f>
        <v>0</v>
      </c>
      <c r="AT42" s="695">
        <v>0</v>
      </c>
      <c r="AU42" s="695"/>
      <c r="AV42" s="690" t="e">
        <f t="shared" si="0"/>
        <v>#DIV/0!</v>
      </c>
      <c r="AW42" s="690" t="e">
        <f>+(AU42/AS42)</f>
        <v>#DIV/0!</v>
      </c>
      <c r="AX42" s="690">
        <f t="shared" si="1"/>
        <v>0</v>
      </c>
      <c r="AY42" s="690" t="e">
        <f>+(AU42/AO42)</f>
        <v>#DIV/0!</v>
      </c>
      <c r="AZ42" s="486" t="s">
        <v>1416</v>
      </c>
      <c r="BA42" s="67">
        <v>1</v>
      </c>
      <c r="BB42" s="693" t="str">
        <f>+AN42</f>
        <v>Realizar reuniones de autocontrol y seguimiento a los procesos que evidencien el monitoreo a los riesgos, indicadores, planes de mejoramiento, manuales y documentos asociados</v>
      </c>
      <c r="BC42" s="691">
        <f>+AO42/4</f>
        <v>0</v>
      </c>
      <c r="BD42" s="716">
        <v>2</v>
      </c>
      <c r="BE42" s="691">
        <v>0</v>
      </c>
      <c r="BF42" s="690">
        <f t="shared" si="35"/>
        <v>2</v>
      </c>
      <c r="BG42" s="690" t="e">
        <f>+(BE42/BC42)</f>
        <v>#DIV/0!</v>
      </c>
      <c r="BH42" s="690">
        <f t="shared" si="36"/>
        <v>0.66666666666666663</v>
      </c>
      <c r="BI42" s="690" t="e">
        <f>+(BE42+AU42)/AO42</f>
        <v>#DIV/0!</v>
      </c>
      <c r="BJ42" s="512" t="s">
        <v>1745</v>
      </c>
      <c r="BK42" s="67">
        <v>1</v>
      </c>
      <c r="BL42" s="693" t="str">
        <f>+AN42</f>
        <v>Realizar reuniones de autocontrol y seguimiento a los procesos que evidencien el monitoreo a los riesgos, indicadores, planes de mejoramiento, manuales y documentos asociados</v>
      </c>
      <c r="BM42" s="691">
        <f>+AO42/4</f>
        <v>0</v>
      </c>
      <c r="BN42" s="695"/>
      <c r="BO42" s="695"/>
      <c r="BP42" s="690">
        <f t="shared" si="37"/>
        <v>0</v>
      </c>
      <c r="BQ42" s="690" t="e">
        <f>+(BO42/BM42)</f>
        <v>#DIV/0!</v>
      </c>
      <c r="BR42" s="690">
        <f t="shared" si="38"/>
        <v>0.66666666666666663</v>
      </c>
      <c r="BS42" s="690" t="e">
        <f>+(BE42+AU42+BO42)/AO42</f>
        <v>#DIV/0!</v>
      </c>
      <c r="BT42" s="690"/>
      <c r="BU42" s="67">
        <v>1</v>
      </c>
      <c r="BV42" s="693" t="str">
        <f>+AN42</f>
        <v>Realizar reuniones de autocontrol y seguimiento a los procesos que evidencien el monitoreo a los riesgos, indicadores, planes de mejoramiento, manuales y documentos asociados</v>
      </c>
      <c r="BW42" s="691">
        <f>+AO42/4</f>
        <v>0</v>
      </c>
      <c r="BX42" s="695"/>
      <c r="BY42" s="695"/>
      <c r="BZ42" s="698">
        <f t="shared" si="39"/>
        <v>0</v>
      </c>
      <c r="CA42" s="698" t="e">
        <f>+(BY42/BW42)</f>
        <v>#DIV/0!</v>
      </c>
      <c r="CB42" s="698">
        <f t="shared" si="40"/>
        <v>0.66666666666666663</v>
      </c>
      <c r="CC42" s="698" t="e">
        <f>+(BE42+AU42+BO42+BY42)/AO42</f>
        <v>#DIV/0!</v>
      </c>
      <c r="CD42" s="698"/>
      <c r="CE42" s="697" t="str">
        <f t="shared" si="2"/>
        <v>No Prog ni Ejec</v>
      </c>
      <c r="CF42" s="697" t="str">
        <f>IF(AND(AS42=0,AU42=0),"No Prog ni Ejec",IF(AS42=0,CONCATENATE("No Prog, Ejec=  ",AU42),AU42/AS42))</f>
        <v>No Prog ni Ejec</v>
      </c>
      <c r="CG42" s="697">
        <f t="shared" si="3"/>
        <v>2</v>
      </c>
      <c r="CH42" s="697" t="str">
        <f>IF(AND(BC42=0,BE42=0),"No Prog ni Ejec",IF(BC42=0,CONCATENATE("No Prog, Ejec=  ",BE42),BE42/BC42))</f>
        <v>No Prog ni Ejec</v>
      </c>
      <c r="CI42" s="697">
        <f t="shared" si="4"/>
        <v>0</v>
      </c>
      <c r="CJ42" s="697" t="str">
        <f>IF(AND(BM42=0,BO42=0),"No Prog ni Ejec",IF(BM42=0,CONCATENATE("No Prog, Ejec=  ",BO42),BO42/BM42))</f>
        <v>No Prog ni Ejec</v>
      </c>
      <c r="CK42" s="697">
        <f t="shared" si="5"/>
        <v>0</v>
      </c>
      <c r="CL42" s="786" t="str">
        <f>IF(AND(BW42=0,BY42=0),"No Prog ni Ejec",IF(BW42=0,CONCATENATE("No Prog, Ejec=  ",BY42),BY42/BW42))</f>
        <v>No Prog ni Ejec</v>
      </c>
      <c r="CM42" s="136">
        <f t="shared" si="6"/>
        <v>0</v>
      </c>
      <c r="CW42" s="125"/>
    </row>
    <row r="43" spans="1:107" s="70" customFormat="1" ht="89.25" hidden="1" x14ac:dyDescent="0.2">
      <c r="A43" s="785">
        <v>11800</v>
      </c>
      <c r="B43" s="693" t="s">
        <v>3</v>
      </c>
      <c r="C43" s="693" t="s">
        <v>330</v>
      </c>
      <c r="D43" s="693"/>
      <c r="E43" s="693" t="s">
        <v>1023</v>
      </c>
      <c r="F43" s="693"/>
      <c r="G43" s="693"/>
      <c r="H43" s="693"/>
      <c r="I43" s="693"/>
      <c r="J43" s="693"/>
      <c r="K43" s="693"/>
      <c r="L43" s="693"/>
      <c r="M43" s="693"/>
      <c r="N43" s="693"/>
      <c r="O43" s="693"/>
      <c r="P43" s="693"/>
      <c r="Q43" s="693" t="s">
        <v>204</v>
      </c>
      <c r="R43" s="693" t="s">
        <v>204</v>
      </c>
      <c r="S43" s="695" t="s">
        <v>116</v>
      </c>
      <c r="T43" s="693" t="s">
        <v>94</v>
      </c>
      <c r="U43" s="693" t="s">
        <v>204</v>
      </c>
      <c r="V43" s="693" t="s">
        <v>204</v>
      </c>
      <c r="W43" s="695" t="s">
        <v>118</v>
      </c>
      <c r="X43" s="693" t="s">
        <v>377</v>
      </c>
      <c r="Y43" s="716" t="s">
        <v>408</v>
      </c>
      <c r="Z43" s="695">
        <v>4</v>
      </c>
      <c r="AA43" s="695" t="s">
        <v>117</v>
      </c>
      <c r="AB43" s="693" t="s">
        <v>11</v>
      </c>
      <c r="AC43" s="701">
        <v>0</v>
      </c>
      <c r="AD43" s="706">
        <v>1</v>
      </c>
      <c r="AE43" s="693" t="s">
        <v>17</v>
      </c>
      <c r="AF43" s="693" t="s">
        <v>26</v>
      </c>
      <c r="AG43" s="693" t="s">
        <v>204</v>
      </c>
      <c r="AH43" s="693" t="s">
        <v>638</v>
      </c>
      <c r="AI43" s="693" t="s">
        <v>29</v>
      </c>
      <c r="AJ43" s="693" t="s">
        <v>204</v>
      </c>
      <c r="AK43" s="693" t="s">
        <v>424</v>
      </c>
      <c r="AL43" s="693" t="s">
        <v>44</v>
      </c>
      <c r="AM43" s="695">
        <v>4</v>
      </c>
      <c r="AN43" s="693" t="str">
        <f t="shared" si="46"/>
        <v>Reportar el cumplimiento del Plan de Acción de la Dependencia</v>
      </c>
      <c r="AO43" s="703">
        <f t="shared" si="47"/>
        <v>0</v>
      </c>
      <c r="AP43" s="700" t="s">
        <v>48</v>
      </c>
      <c r="AQ43" s="66">
        <v>1</v>
      </c>
      <c r="AR43" s="693" t="str">
        <f t="shared" ref="AR43:AR52" si="48">+AN43</f>
        <v>Reportar el cumplimiento del Plan de Acción de la Dependencia</v>
      </c>
      <c r="AS43" s="691">
        <v>0</v>
      </c>
      <c r="AT43" s="695">
        <v>1</v>
      </c>
      <c r="AU43" s="691">
        <v>0</v>
      </c>
      <c r="AV43" s="690">
        <f t="shared" ref="AV43:AV49" si="49">+(AT43/AQ43)</f>
        <v>1</v>
      </c>
      <c r="AW43" s="690" t="e">
        <f t="shared" ref="AW43:AW49" si="50">+(AU43/AS43)</f>
        <v>#DIV/0!</v>
      </c>
      <c r="AX43" s="690">
        <f t="shared" ref="AX43:AX49" si="51">+(AT43/AM43)</f>
        <v>0.25</v>
      </c>
      <c r="AY43" s="690" t="e">
        <f t="shared" ref="AY43:AY49" si="52">+(AU43/AO43)</f>
        <v>#DIV/0!</v>
      </c>
      <c r="AZ43" s="516" t="s">
        <v>1358</v>
      </c>
      <c r="BA43" s="73">
        <v>1</v>
      </c>
      <c r="BB43" s="693" t="str">
        <f t="shared" ref="BB43:BB52" si="53">+AN43</f>
        <v>Reportar el cumplimiento del Plan de Acción de la Dependencia</v>
      </c>
      <c r="BC43" s="691">
        <v>0</v>
      </c>
      <c r="BD43" s="716">
        <v>1</v>
      </c>
      <c r="BE43" s="691">
        <v>0</v>
      </c>
      <c r="BF43" s="690">
        <f t="shared" ref="BF43:BF49" si="54">+(BD43/BA43)</f>
        <v>1</v>
      </c>
      <c r="BG43" s="690" t="e">
        <f t="shared" ref="BG43:BG49" si="55">+(BE43/BC43)</f>
        <v>#DIV/0!</v>
      </c>
      <c r="BH43" s="690">
        <f t="shared" ref="BH43:BH49" si="56">+(BD43+AT43)/AM43</f>
        <v>0.5</v>
      </c>
      <c r="BI43" s="690" t="e">
        <f t="shared" ref="BI43:BI49" si="57">+(BE43+AU43)/AO43</f>
        <v>#DIV/0!</v>
      </c>
      <c r="BJ43" s="516" t="s">
        <v>1718</v>
      </c>
      <c r="BK43" s="73">
        <v>1</v>
      </c>
      <c r="BL43" s="693" t="str">
        <f t="shared" ref="BL43:BL52" si="58">+AN43</f>
        <v>Reportar el cumplimiento del Plan de Acción de la Dependencia</v>
      </c>
      <c r="BM43" s="691">
        <v>0</v>
      </c>
      <c r="BN43" s="695"/>
      <c r="BO43" s="695"/>
      <c r="BP43" s="690">
        <f t="shared" ref="BP43:BP49" si="59">+(BN43/BK43)</f>
        <v>0</v>
      </c>
      <c r="BQ43" s="690" t="e">
        <f t="shared" ref="BQ43:BQ49" si="60">+(BO43/BM43)</f>
        <v>#DIV/0!</v>
      </c>
      <c r="BR43" s="690">
        <f t="shared" ref="BR43:BR49" si="61">+(BD43+AT43+BN43)/AM43</f>
        <v>0.5</v>
      </c>
      <c r="BS43" s="690" t="e">
        <f t="shared" ref="BS43:BS49" si="62">+(BE43+AU43+BO43)/AO43</f>
        <v>#DIV/0!</v>
      </c>
      <c r="BT43" s="690"/>
      <c r="BU43" s="73">
        <v>1</v>
      </c>
      <c r="BV43" s="693" t="str">
        <f t="shared" ref="BV43:BV52" si="63">+AN43</f>
        <v>Reportar el cumplimiento del Plan de Acción de la Dependencia</v>
      </c>
      <c r="BW43" s="691">
        <v>0</v>
      </c>
      <c r="BX43" s="695"/>
      <c r="BY43" s="695"/>
      <c r="BZ43" s="698">
        <f t="shared" ref="BZ43:BZ49" si="64">+(BX43/BU43)</f>
        <v>0</v>
      </c>
      <c r="CA43" s="698" t="e">
        <f t="shared" ref="CA43:CA49" si="65">+(BY43/BW43)</f>
        <v>#DIV/0!</v>
      </c>
      <c r="CB43" s="698">
        <f t="shared" ref="CB43:CB49" si="66">+(BD43+AT43+BN43+BX43)/AM43</f>
        <v>0.5</v>
      </c>
      <c r="CC43" s="698" t="e">
        <f t="shared" ref="CC43:CC49" si="67">+(BE43+AU43+BO43+BY43)/AO43</f>
        <v>#DIV/0!</v>
      </c>
      <c r="CD43" s="698"/>
      <c r="CE43" s="697">
        <f t="shared" ref="CE43:CE49" si="68">IF(AND(AQ43=0,AT43=0),"No Prog ni Ejec",IF(AQ43=0,CONCATENATE("No Prog, Ejec=  ",AT43),AT43/AQ43))</f>
        <v>1</v>
      </c>
      <c r="CF43" s="697" t="str">
        <f t="shared" ref="CF43:CF49" si="69">IF(AND(AS43=0,AU43=0),"No Prog ni Ejec",IF(AS43=0,CONCATENATE("No Prog, Ejec=  ",AU43),AU43/AS43))</f>
        <v>No Prog ni Ejec</v>
      </c>
      <c r="CG43" s="697">
        <f t="shared" ref="CG43:CG49" si="70">IF(AND(BA43=0,BD43=0),"No Prog ni Ejec",IF(BA43=0,CONCATENATE("No Prog, Ejec=  ",BD43),BD43/BA43))</f>
        <v>1</v>
      </c>
      <c r="CH43" s="697" t="str">
        <f t="shared" ref="CH43:CH49" si="71">IF(AND(BC43=0,BE43=0),"No Prog ni Ejec",IF(BC43=0,CONCATENATE("No Prog, Ejec=  ",BE43),BE43/BC43))</f>
        <v>No Prog ni Ejec</v>
      </c>
      <c r="CI43" s="697">
        <f t="shared" ref="CI43:CI49" si="72">IF(AND(BK43=0,BN43=0),"No Prog ni Ejec",IF(BK43=0,CONCATENATE("No Prog, Ejec=  ",BN43),BN43/BK43))</f>
        <v>0</v>
      </c>
      <c r="CJ43" s="697" t="str">
        <f t="shared" ref="CJ43:CJ49" si="73">IF(AND(BM43=0,BO43=0),"No Prog ni Ejec",IF(BM43=0,CONCATENATE("No Prog, Ejec=  ",BO43),BO43/BM43))</f>
        <v>No Prog ni Ejec</v>
      </c>
      <c r="CK43" s="697">
        <f t="shared" ref="CK43:CK49" si="74">IF(AND(BU43=0,BX43=0),"No Prog ni Ejec",IF(BU43=0,CONCATENATE("No Prog, Ejec=  ",BX43),BX43/BU43))</f>
        <v>0</v>
      </c>
      <c r="CL43" s="786" t="str">
        <f t="shared" ref="CL43:CL49" si="75">IF(AND(BW43=0,BY43=0),"No Prog ni Ejec",IF(BW43=0,CONCATENATE("No Prog, Ejec=  ",BY43),BY43/BW43))</f>
        <v>No Prog ni Ejec</v>
      </c>
      <c r="CM43" s="136">
        <f t="shared" si="6"/>
        <v>0</v>
      </c>
      <c r="CW43" s="125">
        <v>6</v>
      </c>
    </row>
    <row r="44" spans="1:107" s="70" customFormat="1" ht="89.25" hidden="1" customHeight="1" x14ac:dyDescent="0.2">
      <c r="A44" s="785">
        <v>11800</v>
      </c>
      <c r="B44" s="693" t="s">
        <v>3</v>
      </c>
      <c r="C44" s="693" t="s">
        <v>330</v>
      </c>
      <c r="D44" s="693"/>
      <c r="E44" s="693" t="s">
        <v>1023</v>
      </c>
      <c r="F44" s="693"/>
      <c r="G44" s="693"/>
      <c r="H44" s="693"/>
      <c r="I44" s="693"/>
      <c r="J44" s="693"/>
      <c r="K44" s="693"/>
      <c r="L44" s="693"/>
      <c r="M44" s="693"/>
      <c r="N44" s="693"/>
      <c r="O44" s="693"/>
      <c r="P44" s="693"/>
      <c r="Q44" s="693" t="s">
        <v>204</v>
      </c>
      <c r="R44" s="693" t="s">
        <v>204</v>
      </c>
      <c r="S44" s="695" t="s">
        <v>116</v>
      </c>
      <c r="T44" s="693" t="s">
        <v>94</v>
      </c>
      <c r="U44" s="693" t="s">
        <v>204</v>
      </c>
      <c r="V44" s="693" t="s">
        <v>204</v>
      </c>
      <c r="W44" s="695" t="s">
        <v>944</v>
      </c>
      <c r="X44" s="724" t="s">
        <v>891</v>
      </c>
      <c r="Y44" s="716" t="s">
        <v>408</v>
      </c>
      <c r="Z44" s="163">
        <v>13</v>
      </c>
      <c r="AA44" s="695" t="s">
        <v>939</v>
      </c>
      <c r="AB44" s="693" t="s">
        <v>378</v>
      </c>
      <c r="AC44" s="701">
        <v>0</v>
      </c>
      <c r="AD44" s="706">
        <v>1</v>
      </c>
      <c r="AE44" s="693" t="s">
        <v>287</v>
      </c>
      <c r="AF44" s="693" t="s">
        <v>304</v>
      </c>
      <c r="AG44" s="693" t="s">
        <v>204</v>
      </c>
      <c r="AH44" s="693" t="s">
        <v>638</v>
      </c>
      <c r="AI44" s="693" t="s">
        <v>83</v>
      </c>
      <c r="AJ44" s="693" t="s">
        <v>1296</v>
      </c>
      <c r="AK44" s="724" t="s">
        <v>1127</v>
      </c>
      <c r="AL44" s="693" t="s">
        <v>44</v>
      </c>
      <c r="AM44" s="74">
        <v>13</v>
      </c>
      <c r="AN44" s="693" t="str">
        <f t="shared" si="46"/>
        <v>Realizar las auditorías internas y otros informes, de acuerdo a lo programado para la vigencia en el Plan Anual Auditorias</v>
      </c>
      <c r="AO44" s="703">
        <f t="shared" si="47"/>
        <v>0</v>
      </c>
      <c r="AP44" s="700" t="s">
        <v>48</v>
      </c>
      <c r="AQ44" s="73">
        <v>1</v>
      </c>
      <c r="AR44" s="693" t="str">
        <f t="shared" si="48"/>
        <v>Realizar las auditorías internas y otros informes, de acuerdo a lo programado para la vigencia en el Plan Anual Auditorias</v>
      </c>
      <c r="AS44" s="691">
        <v>0</v>
      </c>
      <c r="AT44" s="695">
        <v>0</v>
      </c>
      <c r="AU44" s="691">
        <v>0</v>
      </c>
      <c r="AV44" s="690">
        <f t="shared" si="49"/>
        <v>0</v>
      </c>
      <c r="AW44" s="690" t="e">
        <f t="shared" si="50"/>
        <v>#DIV/0!</v>
      </c>
      <c r="AX44" s="690">
        <f t="shared" si="51"/>
        <v>0</v>
      </c>
      <c r="AY44" s="690" t="e">
        <f t="shared" si="52"/>
        <v>#DIV/0!</v>
      </c>
      <c r="AZ44" s="516" t="s">
        <v>1359</v>
      </c>
      <c r="BA44" s="595">
        <v>2</v>
      </c>
      <c r="BB44" s="693" t="str">
        <f t="shared" si="53"/>
        <v>Realizar las auditorías internas y otros informes, de acuerdo a lo programado para la vigencia en el Plan Anual Auditorias</v>
      </c>
      <c r="BC44" s="691">
        <v>0</v>
      </c>
      <c r="BD44" s="716">
        <v>2</v>
      </c>
      <c r="BE44" s="691">
        <v>0</v>
      </c>
      <c r="BF44" s="690">
        <f t="shared" si="54"/>
        <v>1</v>
      </c>
      <c r="BG44" s="690" t="e">
        <f t="shared" si="55"/>
        <v>#DIV/0!</v>
      </c>
      <c r="BH44" s="690">
        <f t="shared" si="56"/>
        <v>0.15384615384615385</v>
      </c>
      <c r="BI44" s="690" t="e">
        <f t="shared" si="57"/>
        <v>#DIV/0!</v>
      </c>
      <c r="BJ44" s="516" t="s">
        <v>1719</v>
      </c>
      <c r="BK44" s="595">
        <v>5</v>
      </c>
      <c r="BL44" s="693" t="str">
        <f t="shared" si="58"/>
        <v>Realizar las auditorías internas y otros informes, de acuerdo a lo programado para la vigencia en el Plan Anual Auditorias</v>
      </c>
      <c r="BM44" s="691">
        <v>0</v>
      </c>
      <c r="BN44" s="695"/>
      <c r="BO44" s="695"/>
      <c r="BP44" s="690">
        <f t="shared" si="59"/>
        <v>0</v>
      </c>
      <c r="BQ44" s="690" t="e">
        <f t="shared" si="60"/>
        <v>#DIV/0!</v>
      </c>
      <c r="BR44" s="690">
        <f t="shared" si="61"/>
        <v>0.15384615384615385</v>
      </c>
      <c r="BS44" s="690" t="e">
        <f t="shared" si="62"/>
        <v>#DIV/0!</v>
      </c>
      <c r="BT44" s="690"/>
      <c r="BU44" s="595">
        <v>5</v>
      </c>
      <c r="BV44" s="693" t="str">
        <f t="shared" si="63"/>
        <v>Realizar las auditorías internas y otros informes, de acuerdo a lo programado para la vigencia en el Plan Anual Auditorias</v>
      </c>
      <c r="BW44" s="691">
        <v>0</v>
      </c>
      <c r="BX44" s="695"/>
      <c r="BY44" s="695"/>
      <c r="BZ44" s="698">
        <f t="shared" si="64"/>
        <v>0</v>
      </c>
      <c r="CA44" s="698" t="e">
        <f t="shared" si="65"/>
        <v>#DIV/0!</v>
      </c>
      <c r="CB44" s="698">
        <f t="shared" si="66"/>
        <v>0.15384615384615385</v>
      </c>
      <c r="CC44" s="698" t="e">
        <f t="shared" si="67"/>
        <v>#DIV/0!</v>
      </c>
      <c r="CD44" s="698"/>
      <c r="CE44" s="697">
        <f t="shared" si="68"/>
        <v>0</v>
      </c>
      <c r="CF44" s="697" t="str">
        <f t="shared" si="69"/>
        <v>No Prog ni Ejec</v>
      </c>
      <c r="CG44" s="697">
        <f t="shared" si="70"/>
        <v>1</v>
      </c>
      <c r="CH44" s="697" t="str">
        <f t="shared" si="71"/>
        <v>No Prog ni Ejec</v>
      </c>
      <c r="CI44" s="697">
        <f t="shared" si="72"/>
        <v>0</v>
      </c>
      <c r="CJ44" s="697" t="str">
        <f t="shared" si="73"/>
        <v>No Prog ni Ejec</v>
      </c>
      <c r="CK44" s="697">
        <f t="shared" si="74"/>
        <v>0</v>
      </c>
      <c r="CL44" s="786" t="str">
        <f t="shared" si="75"/>
        <v>No Prog ni Ejec</v>
      </c>
      <c r="CM44" s="136">
        <f t="shared" si="6"/>
        <v>0</v>
      </c>
      <c r="CW44" s="125">
        <v>6</v>
      </c>
    </row>
    <row r="45" spans="1:107" s="70" customFormat="1" ht="255" hidden="1" x14ac:dyDescent="0.2">
      <c r="A45" s="785">
        <v>11800</v>
      </c>
      <c r="B45" s="693" t="s">
        <v>3</v>
      </c>
      <c r="C45" s="693" t="s">
        <v>330</v>
      </c>
      <c r="D45" s="693"/>
      <c r="E45" s="693" t="s">
        <v>1023</v>
      </c>
      <c r="F45" s="693"/>
      <c r="G45" s="693"/>
      <c r="H45" s="693"/>
      <c r="I45" s="693"/>
      <c r="J45" s="693"/>
      <c r="K45" s="693"/>
      <c r="L45" s="693"/>
      <c r="M45" s="693"/>
      <c r="N45" s="693"/>
      <c r="O45" s="693"/>
      <c r="P45" s="693"/>
      <c r="Q45" s="693" t="s">
        <v>204</v>
      </c>
      <c r="R45" s="693" t="s">
        <v>204</v>
      </c>
      <c r="S45" s="695" t="s">
        <v>116</v>
      </c>
      <c r="T45" s="693" t="s">
        <v>94</v>
      </c>
      <c r="U45" s="693" t="s">
        <v>204</v>
      </c>
      <c r="V45" s="693" t="s">
        <v>204</v>
      </c>
      <c r="W45" s="695" t="s">
        <v>945</v>
      </c>
      <c r="X45" s="724" t="s">
        <v>379</v>
      </c>
      <c r="Y45" s="716" t="s">
        <v>408</v>
      </c>
      <c r="Z45" s="163">
        <v>20</v>
      </c>
      <c r="AA45" s="695" t="s">
        <v>940</v>
      </c>
      <c r="AB45" s="693" t="s">
        <v>380</v>
      </c>
      <c r="AC45" s="701">
        <v>0</v>
      </c>
      <c r="AD45" s="706">
        <v>1</v>
      </c>
      <c r="AE45" s="693" t="s">
        <v>19</v>
      </c>
      <c r="AF45" s="693" t="s">
        <v>25</v>
      </c>
      <c r="AG45" s="693" t="s">
        <v>204</v>
      </c>
      <c r="AH45" s="693" t="s">
        <v>638</v>
      </c>
      <c r="AI45" s="693" t="s">
        <v>83</v>
      </c>
      <c r="AJ45" s="693" t="s">
        <v>1296</v>
      </c>
      <c r="AK45" s="724" t="s">
        <v>1128</v>
      </c>
      <c r="AL45" s="693" t="s">
        <v>44</v>
      </c>
      <c r="AM45" s="74">
        <v>20</v>
      </c>
      <c r="AN45" s="693" t="str">
        <f t="shared" si="46"/>
        <v>Dar respuesta a los Requerimientos Legales Internos en el marco de la normatividad vigente</v>
      </c>
      <c r="AO45" s="703">
        <f t="shared" si="47"/>
        <v>0</v>
      </c>
      <c r="AP45" s="700" t="s">
        <v>48</v>
      </c>
      <c r="AQ45" s="74">
        <v>5</v>
      </c>
      <c r="AR45" s="693" t="str">
        <f t="shared" si="48"/>
        <v>Dar respuesta a los Requerimientos Legales Internos en el marco de la normatividad vigente</v>
      </c>
      <c r="AS45" s="691">
        <v>0</v>
      </c>
      <c r="AT45" s="695">
        <v>5</v>
      </c>
      <c r="AU45" s="691">
        <v>0</v>
      </c>
      <c r="AV45" s="690">
        <f t="shared" si="49"/>
        <v>1</v>
      </c>
      <c r="AW45" s="690" t="e">
        <f t="shared" si="50"/>
        <v>#DIV/0!</v>
      </c>
      <c r="AX45" s="690">
        <f t="shared" si="51"/>
        <v>0.25</v>
      </c>
      <c r="AY45" s="690" t="e">
        <f t="shared" si="52"/>
        <v>#DIV/0!</v>
      </c>
      <c r="AZ45" s="516" t="s">
        <v>1360</v>
      </c>
      <c r="BA45" s="597">
        <v>6</v>
      </c>
      <c r="BB45" s="693" t="str">
        <f t="shared" si="53"/>
        <v>Dar respuesta a los Requerimientos Legales Internos en el marco de la normatividad vigente</v>
      </c>
      <c r="BC45" s="691">
        <v>0</v>
      </c>
      <c r="BD45" s="716">
        <v>6</v>
      </c>
      <c r="BE45" s="691">
        <v>0</v>
      </c>
      <c r="BF45" s="690">
        <f t="shared" si="54"/>
        <v>1</v>
      </c>
      <c r="BG45" s="690" t="e">
        <f t="shared" si="55"/>
        <v>#DIV/0!</v>
      </c>
      <c r="BH45" s="690">
        <f t="shared" si="56"/>
        <v>0.55000000000000004</v>
      </c>
      <c r="BI45" s="690" t="e">
        <f t="shared" si="57"/>
        <v>#DIV/0!</v>
      </c>
      <c r="BJ45" s="516" t="s">
        <v>1720</v>
      </c>
      <c r="BK45" s="74">
        <v>5</v>
      </c>
      <c r="BL45" s="693" t="str">
        <f t="shared" si="58"/>
        <v>Dar respuesta a los Requerimientos Legales Internos en el marco de la normatividad vigente</v>
      </c>
      <c r="BM45" s="691">
        <v>0</v>
      </c>
      <c r="BN45" s="695"/>
      <c r="BO45" s="695"/>
      <c r="BP45" s="690">
        <f t="shared" si="59"/>
        <v>0</v>
      </c>
      <c r="BQ45" s="690" t="e">
        <f t="shared" si="60"/>
        <v>#DIV/0!</v>
      </c>
      <c r="BR45" s="690">
        <f t="shared" si="61"/>
        <v>0.55000000000000004</v>
      </c>
      <c r="BS45" s="690" t="e">
        <f t="shared" si="62"/>
        <v>#DIV/0!</v>
      </c>
      <c r="BT45" s="690"/>
      <c r="BU45" s="597">
        <v>4</v>
      </c>
      <c r="BV45" s="693" t="str">
        <f t="shared" si="63"/>
        <v>Dar respuesta a los Requerimientos Legales Internos en el marco de la normatividad vigente</v>
      </c>
      <c r="BW45" s="691">
        <v>0</v>
      </c>
      <c r="BX45" s="695"/>
      <c r="BY45" s="695"/>
      <c r="BZ45" s="698">
        <f t="shared" si="64"/>
        <v>0</v>
      </c>
      <c r="CA45" s="698" t="e">
        <f t="shared" si="65"/>
        <v>#DIV/0!</v>
      </c>
      <c r="CB45" s="698">
        <f t="shared" si="66"/>
        <v>0.55000000000000004</v>
      </c>
      <c r="CC45" s="698" t="e">
        <f t="shared" si="67"/>
        <v>#DIV/0!</v>
      </c>
      <c r="CD45" s="698"/>
      <c r="CE45" s="697">
        <f t="shared" si="68"/>
        <v>1</v>
      </c>
      <c r="CF45" s="697" t="str">
        <f t="shared" si="69"/>
        <v>No Prog ni Ejec</v>
      </c>
      <c r="CG45" s="697">
        <f t="shared" si="70"/>
        <v>1</v>
      </c>
      <c r="CH45" s="697" t="str">
        <f t="shared" si="71"/>
        <v>No Prog ni Ejec</v>
      </c>
      <c r="CI45" s="697">
        <f t="shared" si="72"/>
        <v>0</v>
      </c>
      <c r="CJ45" s="697" t="str">
        <f t="shared" si="73"/>
        <v>No Prog ni Ejec</v>
      </c>
      <c r="CK45" s="697">
        <f t="shared" si="74"/>
        <v>0</v>
      </c>
      <c r="CL45" s="786" t="str">
        <f t="shared" si="75"/>
        <v>No Prog ni Ejec</v>
      </c>
      <c r="CM45" s="136">
        <f t="shared" si="6"/>
        <v>0</v>
      </c>
      <c r="CW45" s="125">
        <v>6</v>
      </c>
    </row>
    <row r="46" spans="1:107" s="70" customFormat="1" ht="382.5" hidden="1" x14ac:dyDescent="0.2">
      <c r="A46" s="785">
        <v>11800</v>
      </c>
      <c r="B46" s="693" t="s">
        <v>3</v>
      </c>
      <c r="C46" s="693" t="s">
        <v>330</v>
      </c>
      <c r="D46" s="693"/>
      <c r="E46" s="693" t="s">
        <v>1023</v>
      </c>
      <c r="F46" s="693"/>
      <c r="G46" s="693"/>
      <c r="H46" s="693"/>
      <c r="I46" s="693"/>
      <c r="J46" s="693"/>
      <c r="K46" s="693"/>
      <c r="L46" s="693"/>
      <c r="M46" s="693"/>
      <c r="N46" s="693"/>
      <c r="O46" s="693"/>
      <c r="P46" s="693"/>
      <c r="Q46" s="693" t="s">
        <v>204</v>
      </c>
      <c r="R46" s="693" t="s">
        <v>204</v>
      </c>
      <c r="S46" s="695" t="s">
        <v>116</v>
      </c>
      <c r="T46" s="693" t="s">
        <v>94</v>
      </c>
      <c r="U46" s="693" t="s">
        <v>204</v>
      </c>
      <c r="V46" s="693" t="s">
        <v>204</v>
      </c>
      <c r="W46" s="695" t="s">
        <v>946</v>
      </c>
      <c r="X46" s="724" t="s">
        <v>381</v>
      </c>
      <c r="Y46" s="716" t="s">
        <v>408</v>
      </c>
      <c r="Z46" s="163">
        <v>18</v>
      </c>
      <c r="AA46" s="695" t="s">
        <v>941</v>
      </c>
      <c r="AB46" s="693" t="s">
        <v>384</v>
      </c>
      <c r="AC46" s="691">
        <v>0</v>
      </c>
      <c r="AD46" s="706">
        <v>1</v>
      </c>
      <c r="AE46" s="693" t="s">
        <v>19</v>
      </c>
      <c r="AF46" s="693" t="s">
        <v>25</v>
      </c>
      <c r="AG46" s="693" t="s">
        <v>204</v>
      </c>
      <c r="AH46" s="693" t="s">
        <v>638</v>
      </c>
      <c r="AI46" s="693" t="s">
        <v>83</v>
      </c>
      <c r="AJ46" s="693" t="s">
        <v>1296</v>
      </c>
      <c r="AK46" s="724" t="s">
        <v>1129</v>
      </c>
      <c r="AL46" s="693" t="s">
        <v>44</v>
      </c>
      <c r="AM46" s="74">
        <v>18</v>
      </c>
      <c r="AN46" s="693" t="str">
        <f t="shared" si="46"/>
        <v>Dar respuesta a los Requerimientos Legales Externos en el marco de la normatividad vigente</v>
      </c>
      <c r="AO46" s="703">
        <f t="shared" si="47"/>
        <v>0</v>
      </c>
      <c r="AP46" s="700" t="s">
        <v>48</v>
      </c>
      <c r="AQ46" s="74">
        <v>8</v>
      </c>
      <c r="AR46" s="693" t="str">
        <f t="shared" si="48"/>
        <v>Dar respuesta a los Requerimientos Legales Externos en el marco de la normatividad vigente</v>
      </c>
      <c r="AS46" s="691">
        <v>0</v>
      </c>
      <c r="AT46" s="695">
        <v>8</v>
      </c>
      <c r="AU46" s="691">
        <v>0</v>
      </c>
      <c r="AV46" s="690">
        <f t="shared" si="49"/>
        <v>1</v>
      </c>
      <c r="AW46" s="690" t="e">
        <f t="shared" si="50"/>
        <v>#DIV/0!</v>
      </c>
      <c r="AX46" s="690">
        <f>+(AT46/AM46)</f>
        <v>0.44444444444444442</v>
      </c>
      <c r="AY46" s="690" t="e">
        <f t="shared" si="52"/>
        <v>#DIV/0!</v>
      </c>
      <c r="AZ46" s="516" t="s">
        <v>1361</v>
      </c>
      <c r="BA46" s="74">
        <v>4</v>
      </c>
      <c r="BB46" s="693" t="str">
        <f t="shared" si="53"/>
        <v>Dar respuesta a los Requerimientos Legales Externos en el marco de la normatividad vigente</v>
      </c>
      <c r="BC46" s="691">
        <v>0</v>
      </c>
      <c r="BD46" s="716">
        <v>4</v>
      </c>
      <c r="BE46" s="691">
        <v>0</v>
      </c>
      <c r="BF46" s="690">
        <f t="shared" si="54"/>
        <v>1</v>
      </c>
      <c r="BG46" s="690" t="e">
        <f t="shared" si="55"/>
        <v>#DIV/0!</v>
      </c>
      <c r="BH46" s="690">
        <f t="shared" si="56"/>
        <v>0.66666666666666663</v>
      </c>
      <c r="BI46" s="690" t="e">
        <f t="shared" si="57"/>
        <v>#DIV/0!</v>
      </c>
      <c r="BJ46" s="516" t="s">
        <v>1721</v>
      </c>
      <c r="BK46" s="74">
        <v>5</v>
      </c>
      <c r="BL46" s="693" t="str">
        <f t="shared" si="58"/>
        <v>Dar respuesta a los Requerimientos Legales Externos en el marco de la normatividad vigente</v>
      </c>
      <c r="BM46" s="691">
        <v>0</v>
      </c>
      <c r="BN46" s="695"/>
      <c r="BO46" s="695"/>
      <c r="BP46" s="690">
        <f t="shared" si="59"/>
        <v>0</v>
      </c>
      <c r="BQ46" s="690" t="e">
        <f t="shared" si="60"/>
        <v>#DIV/0!</v>
      </c>
      <c r="BR46" s="690">
        <f t="shared" si="61"/>
        <v>0.66666666666666663</v>
      </c>
      <c r="BS46" s="690" t="e">
        <f t="shared" si="62"/>
        <v>#DIV/0!</v>
      </c>
      <c r="BT46" s="690"/>
      <c r="BU46" s="74">
        <v>1</v>
      </c>
      <c r="BV46" s="693" t="str">
        <f t="shared" si="63"/>
        <v>Dar respuesta a los Requerimientos Legales Externos en el marco de la normatividad vigente</v>
      </c>
      <c r="BW46" s="691">
        <v>0</v>
      </c>
      <c r="BX46" s="695"/>
      <c r="BY46" s="695"/>
      <c r="BZ46" s="698">
        <f t="shared" si="64"/>
        <v>0</v>
      </c>
      <c r="CA46" s="698" t="e">
        <f t="shared" si="65"/>
        <v>#DIV/0!</v>
      </c>
      <c r="CB46" s="698">
        <f t="shared" si="66"/>
        <v>0.66666666666666663</v>
      </c>
      <c r="CC46" s="698" t="e">
        <f t="shared" si="67"/>
        <v>#DIV/0!</v>
      </c>
      <c r="CD46" s="698"/>
      <c r="CE46" s="697">
        <f t="shared" si="68"/>
        <v>1</v>
      </c>
      <c r="CF46" s="697" t="str">
        <f t="shared" si="69"/>
        <v>No Prog ni Ejec</v>
      </c>
      <c r="CG46" s="697">
        <f t="shared" si="70"/>
        <v>1</v>
      </c>
      <c r="CH46" s="697" t="str">
        <f t="shared" si="71"/>
        <v>No Prog ni Ejec</v>
      </c>
      <c r="CI46" s="697">
        <f t="shared" si="72"/>
        <v>0</v>
      </c>
      <c r="CJ46" s="697" t="str">
        <f t="shared" si="73"/>
        <v>No Prog ni Ejec</v>
      </c>
      <c r="CK46" s="697">
        <f t="shared" si="74"/>
        <v>0</v>
      </c>
      <c r="CL46" s="786" t="str">
        <f t="shared" si="75"/>
        <v>No Prog ni Ejec</v>
      </c>
      <c r="CM46" s="136">
        <f t="shared" si="6"/>
        <v>0</v>
      </c>
      <c r="CW46" s="125">
        <v>6</v>
      </c>
    </row>
    <row r="47" spans="1:107" s="70" customFormat="1" ht="127.5" hidden="1" x14ac:dyDescent="0.2">
      <c r="A47" s="785">
        <v>11800</v>
      </c>
      <c r="B47" s="693" t="s">
        <v>3</v>
      </c>
      <c r="C47" s="693" t="s">
        <v>330</v>
      </c>
      <c r="D47" s="693"/>
      <c r="E47" s="693" t="s">
        <v>1023</v>
      </c>
      <c r="F47" s="693"/>
      <c r="G47" s="693"/>
      <c r="H47" s="693"/>
      <c r="I47" s="693"/>
      <c r="J47" s="693"/>
      <c r="K47" s="693"/>
      <c r="L47" s="693"/>
      <c r="M47" s="693"/>
      <c r="N47" s="693"/>
      <c r="O47" s="693"/>
      <c r="P47" s="693"/>
      <c r="Q47" s="693" t="s">
        <v>204</v>
      </c>
      <c r="R47" s="693" t="s">
        <v>204</v>
      </c>
      <c r="S47" s="695" t="s">
        <v>116</v>
      </c>
      <c r="T47" s="693" t="s">
        <v>94</v>
      </c>
      <c r="U47" s="693" t="s">
        <v>204</v>
      </c>
      <c r="V47" s="693" t="s">
        <v>204</v>
      </c>
      <c r="W47" s="695" t="s">
        <v>947</v>
      </c>
      <c r="X47" s="724" t="s">
        <v>382</v>
      </c>
      <c r="Y47" s="716" t="s">
        <v>408</v>
      </c>
      <c r="Z47" s="74">
        <v>2</v>
      </c>
      <c r="AA47" s="695" t="s">
        <v>942</v>
      </c>
      <c r="AB47" s="693" t="s">
        <v>119</v>
      </c>
      <c r="AC47" s="691">
        <v>0</v>
      </c>
      <c r="AD47" s="706">
        <v>1</v>
      </c>
      <c r="AE47" s="693" t="s">
        <v>287</v>
      </c>
      <c r="AF47" s="693" t="s">
        <v>304</v>
      </c>
      <c r="AG47" s="693" t="s">
        <v>204</v>
      </c>
      <c r="AH47" s="693" t="s">
        <v>638</v>
      </c>
      <c r="AI47" s="693" t="s">
        <v>83</v>
      </c>
      <c r="AJ47" s="693" t="s">
        <v>1297</v>
      </c>
      <c r="AK47" s="724" t="s">
        <v>1130</v>
      </c>
      <c r="AL47" s="693" t="s">
        <v>44</v>
      </c>
      <c r="AM47" s="164">
        <v>2</v>
      </c>
      <c r="AN47" s="693" t="str">
        <f t="shared" si="46"/>
        <v>Medir el grado de cumplimiento de las acciones que hacen parte del Plan de mejoramiento institucional derivadas de la Auditoría de la CGR.</v>
      </c>
      <c r="AO47" s="703">
        <f t="shared" si="47"/>
        <v>0</v>
      </c>
      <c r="AP47" s="700" t="s">
        <v>48</v>
      </c>
      <c r="AQ47" s="74">
        <v>1</v>
      </c>
      <c r="AR47" s="693" t="str">
        <f t="shared" si="48"/>
        <v>Medir el grado de cumplimiento de las acciones que hacen parte del Plan de mejoramiento institucional derivadas de la Auditoría de la CGR.</v>
      </c>
      <c r="AS47" s="691">
        <v>0</v>
      </c>
      <c r="AT47" s="695">
        <v>1</v>
      </c>
      <c r="AU47" s="691">
        <v>0</v>
      </c>
      <c r="AV47" s="690">
        <f t="shared" si="49"/>
        <v>1</v>
      </c>
      <c r="AW47" s="690" t="e">
        <f t="shared" si="50"/>
        <v>#DIV/0!</v>
      </c>
      <c r="AX47" s="690">
        <f t="shared" si="51"/>
        <v>0.5</v>
      </c>
      <c r="AY47" s="690" t="e">
        <f t="shared" si="52"/>
        <v>#DIV/0!</v>
      </c>
      <c r="AZ47" s="516" t="s">
        <v>1362</v>
      </c>
      <c r="BA47" s="163">
        <v>0</v>
      </c>
      <c r="BB47" s="693" t="str">
        <f t="shared" si="53"/>
        <v>Medir el grado de cumplimiento de las acciones que hacen parte del Plan de mejoramiento institucional derivadas de la Auditoría de la CGR.</v>
      </c>
      <c r="BC47" s="691">
        <v>0</v>
      </c>
      <c r="BD47" s="716">
        <v>0</v>
      </c>
      <c r="BE47" s="691">
        <v>0</v>
      </c>
      <c r="BF47" s="690" t="e">
        <f t="shared" si="54"/>
        <v>#DIV/0!</v>
      </c>
      <c r="BG47" s="690" t="e">
        <f t="shared" si="55"/>
        <v>#DIV/0!</v>
      </c>
      <c r="BH47" s="690">
        <f t="shared" si="56"/>
        <v>0.5</v>
      </c>
      <c r="BI47" s="690" t="e">
        <f t="shared" si="57"/>
        <v>#DIV/0!</v>
      </c>
      <c r="BJ47" s="516" t="s">
        <v>1722</v>
      </c>
      <c r="BK47" s="74">
        <v>1</v>
      </c>
      <c r="BL47" s="693" t="str">
        <f t="shared" si="58"/>
        <v>Medir el grado de cumplimiento de las acciones que hacen parte del Plan de mejoramiento institucional derivadas de la Auditoría de la CGR.</v>
      </c>
      <c r="BM47" s="691">
        <v>0</v>
      </c>
      <c r="BN47" s="695"/>
      <c r="BO47" s="695"/>
      <c r="BP47" s="690">
        <f t="shared" si="59"/>
        <v>0</v>
      </c>
      <c r="BQ47" s="690" t="e">
        <f t="shared" si="60"/>
        <v>#DIV/0!</v>
      </c>
      <c r="BR47" s="690">
        <f t="shared" si="61"/>
        <v>0.5</v>
      </c>
      <c r="BS47" s="690" t="e">
        <f t="shared" si="62"/>
        <v>#DIV/0!</v>
      </c>
      <c r="BT47" s="690"/>
      <c r="BU47" s="163">
        <v>0</v>
      </c>
      <c r="BV47" s="693" t="str">
        <f t="shared" si="63"/>
        <v>Medir el grado de cumplimiento de las acciones que hacen parte del Plan de mejoramiento institucional derivadas de la Auditoría de la CGR.</v>
      </c>
      <c r="BW47" s="691">
        <v>0</v>
      </c>
      <c r="BX47" s="695"/>
      <c r="BY47" s="695"/>
      <c r="BZ47" s="698" t="e">
        <f t="shared" si="64"/>
        <v>#DIV/0!</v>
      </c>
      <c r="CA47" s="698" t="e">
        <f t="shared" si="65"/>
        <v>#DIV/0!</v>
      </c>
      <c r="CB47" s="698">
        <f t="shared" si="66"/>
        <v>0.5</v>
      </c>
      <c r="CC47" s="698" t="e">
        <f t="shared" si="67"/>
        <v>#DIV/0!</v>
      </c>
      <c r="CD47" s="698"/>
      <c r="CE47" s="697">
        <f t="shared" si="68"/>
        <v>1</v>
      </c>
      <c r="CF47" s="697" t="str">
        <f t="shared" si="69"/>
        <v>No Prog ni Ejec</v>
      </c>
      <c r="CG47" s="697" t="str">
        <f t="shared" si="70"/>
        <v>No Prog ni Ejec</v>
      </c>
      <c r="CH47" s="697" t="str">
        <f t="shared" si="71"/>
        <v>No Prog ni Ejec</v>
      </c>
      <c r="CI47" s="697">
        <f t="shared" si="72"/>
        <v>0</v>
      </c>
      <c r="CJ47" s="697" t="str">
        <f t="shared" si="73"/>
        <v>No Prog ni Ejec</v>
      </c>
      <c r="CK47" s="697" t="str">
        <f t="shared" si="74"/>
        <v>No Prog ni Ejec</v>
      </c>
      <c r="CL47" s="786" t="str">
        <f t="shared" si="75"/>
        <v>No Prog ni Ejec</v>
      </c>
      <c r="CM47" s="136">
        <f t="shared" si="6"/>
        <v>0</v>
      </c>
      <c r="CW47" s="125">
        <v>6</v>
      </c>
    </row>
    <row r="48" spans="1:107" s="70" customFormat="1" ht="216.75" hidden="1" x14ac:dyDescent="0.2">
      <c r="A48" s="785">
        <v>11800</v>
      </c>
      <c r="B48" s="693" t="s">
        <v>3</v>
      </c>
      <c r="C48" s="693" t="s">
        <v>330</v>
      </c>
      <c r="D48" s="693"/>
      <c r="E48" s="693" t="s">
        <v>1023</v>
      </c>
      <c r="F48" s="693"/>
      <c r="G48" s="693"/>
      <c r="H48" s="693"/>
      <c r="I48" s="693"/>
      <c r="J48" s="693"/>
      <c r="K48" s="693"/>
      <c r="L48" s="693"/>
      <c r="M48" s="693"/>
      <c r="N48" s="693"/>
      <c r="O48" s="693"/>
      <c r="P48" s="693"/>
      <c r="Q48" s="693" t="s">
        <v>204</v>
      </c>
      <c r="R48" s="693" t="s">
        <v>204</v>
      </c>
      <c r="S48" s="695" t="s">
        <v>116</v>
      </c>
      <c r="T48" s="693" t="s">
        <v>94</v>
      </c>
      <c r="U48" s="693" t="s">
        <v>204</v>
      </c>
      <c r="V48" s="693" t="s">
        <v>204</v>
      </c>
      <c r="W48" s="695" t="s">
        <v>948</v>
      </c>
      <c r="X48" s="724" t="s">
        <v>383</v>
      </c>
      <c r="Y48" s="716" t="s">
        <v>408</v>
      </c>
      <c r="Z48" s="74">
        <v>12</v>
      </c>
      <c r="AA48" s="695" t="s">
        <v>943</v>
      </c>
      <c r="AB48" s="693" t="s">
        <v>385</v>
      </c>
      <c r="AC48" s="691">
        <v>0</v>
      </c>
      <c r="AD48" s="706">
        <v>1</v>
      </c>
      <c r="AE48" s="693" t="s">
        <v>19</v>
      </c>
      <c r="AF48" s="693" t="s">
        <v>25</v>
      </c>
      <c r="AG48" s="693" t="s">
        <v>204</v>
      </c>
      <c r="AH48" s="693" t="s">
        <v>638</v>
      </c>
      <c r="AI48" s="693" t="s">
        <v>83</v>
      </c>
      <c r="AJ48" s="693" t="s">
        <v>204</v>
      </c>
      <c r="AK48" s="724" t="s">
        <v>1131</v>
      </c>
      <c r="AL48" s="693" t="s">
        <v>44</v>
      </c>
      <c r="AM48" s="164">
        <v>12</v>
      </c>
      <c r="AN48" s="693" t="str">
        <f t="shared" si="46"/>
        <v>Comunicar a través de Boletines informativos temas de autocontrol y fomentar la cultura del autocontrol en la ADRES.</v>
      </c>
      <c r="AO48" s="703">
        <f t="shared" si="47"/>
        <v>0</v>
      </c>
      <c r="AP48" s="700" t="s">
        <v>48</v>
      </c>
      <c r="AQ48" s="74">
        <v>3</v>
      </c>
      <c r="AR48" s="693" t="str">
        <f t="shared" si="48"/>
        <v>Comunicar a través de Boletines informativos temas de autocontrol y fomentar la cultura del autocontrol en la ADRES.</v>
      </c>
      <c r="AS48" s="691">
        <v>0</v>
      </c>
      <c r="AT48" s="695">
        <v>3</v>
      </c>
      <c r="AU48" s="691">
        <v>0</v>
      </c>
      <c r="AV48" s="690">
        <f t="shared" si="49"/>
        <v>1</v>
      </c>
      <c r="AW48" s="690" t="e">
        <f t="shared" si="50"/>
        <v>#DIV/0!</v>
      </c>
      <c r="AX48" s="690">
        <f t="shared" si="51"/>
        <v>0.25</v>
      </c>
      <c r="AY48" s="690" t="e">
        <f t="shared" si="52"/>
        <v>#DIV/0!</v>
      </c>
      <c r="AZ48" s="516" t="s">
        <v>1363</v>
      </c>
      <c r="BA48" s="163">
        <v>3</v>
      </c>
      <c r="BB48" s="693" t="str">
        <f t="shared" si="53"/>
        <v>Comunicar a través de Boletines informativos temas de autocontrol y fomentar la cultura del autocontrol en la ADRES.</v>
      </c>
      <c r="BC48" s="691">
        <v>0</v>
      </c>
      <c r="BD48" s="716">
        <v>3</v>
      </c>
      <c r="BE48" s="691">
        <v>0</v>
      </c>
      <c r="BF48" s="690">
        <f t="shared" si="54"/>
        <v>1</v>
      </c>
      <c r="BG48" s="690" t="e">
        <f t="shared" si="55"/>
        <v>#DIV/0!</v>
      </c>
      <c r="BH48" s="690">
        <f t="shared" si="56"/>
        <v>0.5</v>
      </c>
      <c r="BI48" s="690" t="e">
        <f t="shared" si="57"/>
        <v>#DIV/0!</v>
      </c>
      <c r="BJ48" s="516" t="s">
        <v>1723</v>
      </c>
      <c r="BK48" s="74">
        <v>3</v>
      </c>
      <c r="BL48" s="693" t="str">
        <f t="shared" si="58"/>
        <v>Comunicar a través de Boletines informativos temas de autocontrol y fomentar la cultura del autocontrol en la ADRES.</v>
      </c>
      <c r="BM48" s="691">
        <v>0</v>
      </c>
      <c r="BN48" s="695"/>
      <c r="BO48" s="695"/>
      <c r="BP48" s="690">
        <f t="shared" si="59"/>
        <v>0</v>
      </c>
      <c r="BQ48" s="690" t="e">
        <f t="shared" si="60"/>
        <v>#DIV/0!</v>
      </c>
      <c r="BR48" s="690">
        <f t="shared" si="61"/>
        <v>0.5</v>
      </c>
      <c r="BS48" s="690" t="e">
        <f t="shared" si="62"/>
        <v>#DIV/0!</v>
      </c>
      <c r="BT48" s="690"/>
      <c r="BU48" s="163">
        <v>3</v>
      </c>
      <c r="BV48" s="693" t="str">
        <f t="shared" si="63"/>
        <v>Comunicar a través de Boletines informativos temas de autocontrol y fomentar la cultura del autocontrol en la ADRES.</v>
      </c>
      <c r="BW48" s="691">
        <v>0</v>
      </c>
      <c r="BX48" s="695"/>
      <c r="BY48" s="695"/>
      <c r="BZ48" s="698">
        <f t="shared" si="64"/>
        <v>0</v>
      </c>
      <c r="CA48" s="698" t="e">
        <f t="shared" si="65"/>
        <v>#DIV/0!</v>
      </c>
      <c r="CB48" s="698">
        <f t="shared" si="66"/>
        <v>0.5</v>
      </c>
      <c r="CC48" s="698" t="e">
        <f t="shared" si="67"/>
        <v>#DIV/0!</v>
      </c>
      <c r="CD48" s="698"/>
      <c r="CE48" s="697">
        <f t="shared" si="68"/>
        <v>1</v>
      </c>
      <c r="CF48" s="697" t="str">
        <f t="shared" si="69"/>
        <v>No Prog ni Ejec</v>
      </c>
      <c r="CG48" s="697">
        <f t="shared" si="70"/>
        <v>1</v>
      </c>
      <c r="CH48" s="697" t="str">
        <f t="shared" si="71"/>
        <v>No Prog ni Ejec</v>
      </c>
      <c r="CI48" s="697">
        <f t="shared" si="72"/>
        <v>0</v>
      </c>
      <c r="CJ48" s="697" t="str">
        <f t="shared" si="73"/>
        <v>No Prog ni Ejec</v>
      </c>
      <c r="CK48" s="697">
        <f t="shared" si="74"/>
        <v>0</v>
      </c>
      <c r="CL48" s="786" t="str">
        <f t="shared" si="75"/>
        <v>No Prog ni Ejec</v>
      </c>
      <c r="CM48" s="136">
        <f t="shared" si="6"/>
        <v>0</v>
      </c>
      <c r="CW48" s="125">
        <v>6</v>
      </c>
    </row>
    <row r="49" spans="1:106" s="70" customFormat="1" ht="114.75" hidden="1" x14ac:dyDescent="0.2">
      <c r="A49" s="785">
        <v>11800</v>
      </c>
      <c r="B49" s="693" t="s">
        <v>3</v>
      </c>
      <c r="C49" s="693" t="s">
        <v>336</v>
      </c>
      <c r="D49" s="693" t="s">
        <v>1023</v>
      </c>
      <c r="E49" s="693"/>
      <c r="F49" s="693"/>
      <c r="G49" s="693"/>
      <c r="H49" s="693"/>
      <c r="I49" s="693"/>
      <c r="J49" s="693"/>
      <c r="K49" s="693"/>
      <c r="L49" s="693"/>
      <c r="M49" s="693"/>
      <c r="N49" s="693"/>
      <c r="O49" s="693"/>
      <c r="P49" s="693"/>
      <c r="Q49" s="693" t="s">
        <v>1134</v>
      </c>
      <c r="R49" s="693" t="s">
        <v>1140</v>
      </c>
      <c r="S49" s="695" t="s">
        <v>116</v>
      </c>
      <c r="T49" s="693" t="s">
        <v>94</v>
      </c>
      <c r="U49" s="693" t="s">
        <v>204</v>
      </c>
      <c r="V49" s="693" t="s">
        <v>204</v>
      </c>
      <c r="W49" s="695" t="s">
        <v>966</v>
      </c>
      <c r="X49" s="693" t="s">
        <v>1061</v>
      </c>
      <c r="Y49" s="716" t="s">
        <v>391</v>
      </c>
      <c r="Z49" s="66">
        <v>3</v>
      </c>
      <c r="AA49" s="695" t="s">
        <v>965</v>
      </c>
      <c r="AB49" s="693" t="s">
        <v>1060</v>
      </c>
      <c r="AC49" s="691">
        <v>0</v>
      </c>
      <c r="AD49" s="706">
        <v>1</v>
      </c>
      <c r="AE49" s="693" t="s">
        <v>17</v>
      </c>
      <c r="AF49" s="693" t="s">
        <v>295</v>
      </c>
      <c r="AG49" s="693" t="s">
        <v>204</v>
      </c>
      <c r="AH49" s="693" t="s">
        <v>638</v>
      </c>
      <c r="AI49" s="693" t="s">
        <v>1051</v>
      </c>
      <c r="AJ49" s="693" t="s">
        <v>1286</v>
      </c>
      <c r="AK49" s="693" t="s">
        <v>1062</v>
      </c>
      <c r="AL49" s="693" t="s">
        <v>204</v>
      </c>
      <c r="AM49" s="67">
        <v>3</v>
      </c>
      <c r="AN49" s="693" t="str">
        <f t="shared" si="46"/>
        <v>Realizar reuniones de autocontrol y seguimiento a los procesos que evidencien el monitoreo a los riesgos, indicadores, planes de mejoramiento, manuales y documentos asociados</v>
      </c>
      <c r="AO49" s="703">
        <f t="shared" si="47"/>
        <v>0</v>
      </c>
      <c r="AP49" s="700" t="s">
        <v>48</v>
      </c>
      <c r="AQ49" s="67">
        <v>0</v>
      </c>
      <c r="AR49" s="693" t="str">
        <f t="shared" si="48"/>
        <v>Realizar reuniones de autocontrol y seguimiento a los procesos que evidencien el monitoreo a los riesgos, indicadores, planes de mejoramiento, manuales y documentos asociados</v>
      </c>
      <c r="AS49" s="691">
        <f>+AO49/4</f>
        <v>0</v>
      </c>
      <c r="AT49" s="695">
        <v>0</v>
      </c>
      <c r="AU49" s="691">
        <v>0</v>
      </c>
      <c r="AV49" s="690" t="e">
        <f t="shared" si="49"/>
        <v>#DIV/0!</v>
      </c>
      <c r="AW49" s="690" t="e">
        <f t="shared" si="50"/>
        <v>#DIV/0!</v>
      </c>
      <c r="AX49" s="690">
        <f t="shared" si="51"/>
        <v>0</v>
      </c>
      <c r="AY49" s="690" t="e">
        <f t="shared" si="52"/>
        <v>#DIV/0!</v>
      </c>
      <c r="AZ49" s="516" t="s">
        <v>1364</v>
      </c>
      <c r="BA49" s="67">
        <v>1</v>
      </c>
      <c r="BB49" s="693" t="str">
        <f t="shared" si="53"/>
        <v>Realizar reuniones de autocontrol y seguimiento a los procesos que evidencien el monitoreo a los riesgos, indicadores, planes de mejoramiento, manuales y documentos asociados</v>
      </c>
      <c r="BC49" s="691">
        <f>+AO49/4</f>
        <v>0</v>
      </c>
      <c r="BD49" s="716">
        <v>1</v>
      </c>
      <c r="BE49" s="691">
        <v>0</v>
      </c>
      <c r="BF49" s="690">
        <f t="shared" si="54"/>
        <v>1</v>
      </c>
      <c r="BG49" s="690" t="e">
        <f t="shared" si="55"/>
        <v>#DIV/0!</v>
      </c>
      <c r="BH49" s="690">
        <f t="shared" si="56"/>
        <v>0.33333333333333331</v>
      </c>
      <c r="BI49" s="690" t="e">
        <f t="shared" si="57"/>
        <v>#DIV/0!</v>
      </c>
      <c r="BJ49" s="516" t="s">
        <v>1724</v>
      </c>
      <c r="BK49" s="67">
        <v>1</v>
      </c>
      <c r="BL49" s="693" t="str">
        <f t="shared" si="58"/>
        <v>Realizar reuniones de autocontrol y seguimiento a los procesos que evidencien el monitoreo a los riesgos, indicadores, planes de mejoramiento, manuales y documentos asociados</v>
      </c>
      <c r="BM49" s="691">
        <f>+AO49/4</f>
        <v>0</v>
      </c>
      <c r="BN49" s="695"/>
      <c r="BO49" s="695"/>
      <c r="BP49" s="690">
        <f t="shared" si="59"/>
        <v>0</v>
      </c>
      <c r="BQ49" s="690" t="e">
        <f t="shared" si="60"/>
        <v>#DIV/0!</v>
      </c>
      <c r="BR49" s="690">
        <f t="shared" si="61"/>
        <v>0.33333333333333331</v>
      </c>
      <c r="BS49" s="690" t="e">
        <f t="shared" si="62"/>
        <v>#DIV/0!</v>
      </c>
      <c r="BT49" s="690"/>
      <c r="BU49" s="67">
        <v>1</v>
      </c>
      <c r="BV49" s="693" t="str">
        <f t="shared" si="63"/>
        <v>Realizar reuniones de autocontrol y seguimiento a los procesos que evidencien el monitoreo a los riesgos, indicadores, planes de mejoramiento, manuales y documentos asociados</v>
      </c>
      <c r="BW49" s="691">
        <f>+AO49/4</f>
        <v>0</v>
      </c>
      <c r="BX49" s="695"/>
      <c r="BY49" s="695"/>
      <c r="BZ49" s="698">
        <f t="shared" si="64"/>
        <v>0</v>
      </c>
      <c r="CA49" s="698" t="e">
        <f t="shared" si="65"/>
        <v>#DIV/0!</v>
      </c>
      <c r="CB49" s="698">
        <f t="shared" si="66"/>
        <v>0.33333333333333331</v>
      </c>
      <c r="CC49" s="698" t="e">
        <f t="shared" si="67"/>
        <v>#DIV/0!</v>
      </c>
      <c r="CD49" s="698"/>
      <c r="CE49" s="697" t="str">
        <f t="shared" si="68"/>
        <v>No Prog ni Ejec</v>
      </c>
      <c r="CF49" s="697" t="str">
        <f t="shared" si="69"/>
        <v>No Prog ni Ejec</v>
      </c>
      <c r="CG49" s="697">
        <f t="shared" si="70"/>
        <v>1</v>
      </c>
      <c r="CH49" s="697" t="str">
        <f t="shared" si="71"/>
        <v>No Prog ni Ejec</v>
      </c>
      <c r="CI49" s="697">
        <f t="shared" si="72"/>
        <v>0</v>
      </c>
      <c r="CJ49" s="697" t="str">
        <f t="shared" si="73"/>
        <v>No Prog ni Ejec</v>
      </c>
      <c r="CK49" s="697">
        <f t="shared" si="74"/>
        <v>0</v>
      </c>
      <c r="CL49" s="786" t="str">
        <f t="shared" si="75"/>
        <v>No Prog ni Ejec</v>
      </c>
      <c r="CM49" s="136">
        <f t="shared" si="6"/>
        <v>0</v>
      </c>
      <c r="CW49" s="125"/>
    </row>
    <row r="50" spans="1:106" s="70" customFormat="1" ht="191.25" hidden="1" x14ac:dyDescent="0.2">
      <c r="A50" s="785">
        <v>11700</v>
      </c>
      <c r="B50" s="693" t="s">
        <v>14</v>
      </c>
      <c r="C50" s="693" t="s">
        <v>337</v>
      </c>
      <c r="D50" s="693"/>
      <c r="E50" s="693"/>
      <c r="F50" s="693" t="s">
        <v>1023</v>
      </c>
      <c r="G50" s="693"/>
      <c r="H50" s="693"/>
      <c r="I50" s="693"/>
      <c r="J50" s="693"/>
      <c r="K50" s="693"/>
      <c r="L50" s="693"/>
      <c r="M50" s="693" t="s">
        <v>1023</v>
      </c>
      <c r="N50" s="693"/>
      <c r="O50" s="693"/>
      <c r="P50" s="693"/>
      <c r="Q50" s="693" t="s">
        <v>204</v>
      </c>
      <c r="R50" s="693" t="s">
        <v>204</v>
      </c>
      <c r="S50" s="695" t="s">
        <v>238</v>
      </c>
      <c r="T50" s="693" t="s">
        <v>94</v>
      </c>
      <c r="U50" s="693" t="s">
        <v>204</v>
      </c>
      <c r="V50" s="693" t="s">
        <v>204</v>
      </c>
      <c r="W50" s="695" t="s">
        <v>240</v>
      </c>
      <c r="X50" s="724" t="s">
        <v>604</v>
      </c>
      <c r="Y50" s="716" t="s">
        <v>51</v>
      </c>
      <c r="Z50" s="66">
        <v>811</v>
      </c>
      <c r="AA50" s="695" t="s">
        <v>239</v>
      </c>
      <c r="AB50" s="724" t="s">
        <v>603</v>
      </c>
      <c r="AC50" s="701">
        <v>185000000</v>
      </c>
      <c r="AD50" s="706">
        <v>1</v>
      </c>
      <c r="AE50" s="693" t="s">
        <v>18</v>
      </c>
      <c r="AF50" s="693" t="s">
        <v>305</v>
      </c>
      <c r="AG50" s="693" t="s">
        <v>204</v>
      </c>
      <c r="AH50" s="693" t="s">
        <v>638</v>
      </c>
      <c r="AI50" s="693" t="s">
        <v>1040</v>
      </c>
      <c r="AJ50" s="693" t="s">
        <v>1304</v>
      </c>
      <c r="AK50" s="693" t="s">
        <v>644</v>
      </c>
      <c r="AL50" s="693" t="s">
        <v>204</v>
      </c>
      <c r="AM50" s="66">
        <v>811</v>
      </c>
      <c r="AN50" s="693" t="str">
        <f t="shared" si="46"/>
        <v>Organizar, digitalizar y transferir el archivo documental de gestión correspondiente al periodo comprendido entre agosto de 2017 y agosto de 2018, ubicado en las instalaciones de la ADRES</v>
      </c>
      <c r="AO50" s="701">
        <f t="shared" si="47"/>
        <v>185000000</v>
      </c>
      <c r="AP50" s="700" t="s">
        <v>46</v>
      </c>
      <c r="AQ50" s="66">
        <v>100</v>
      </c>
      <c r="AR50" s="693" t="str">
        <f t="shared" si="48"/>
        <v>Organizar, digitalizar y transferir el archivo documental de gestión correspondiente al periodo comprendido entre agosto de 2017 y agosto de 2018, ubicado en las instalaciones de la ADRES</v>
      </c>
      <c r="AS50" s="691">
        <f>+AC50/8</f>
        <v>23125000</v>
      </c>
      <c r="AT50" s="491">
        <v>84</v>
      </c>
      <c r="AU50" s="491"/>
      <c r="AV50" s="690">
        <f t="shared" ref="AV50:AV56" si="76">+(AT50/AQ50)</f>
        <v>0.84</v>
      </c>
      <c r="AW50" s="690">
        <f t="shared" ref="AW50:AW56" si="77">+(AU50/AS50)</f>
        <v>0</v>
      </c>
      <c r="AX50" s="690">
        <f t="shared" ref="AX50:AX56" si="78">+(AT50/AM50)</f>
        <v>0.10357583230579531</v>
      </c>
      <c r="AY50" s="690">
        <f t="shared" ref="AY50:AY56" si="79">+(AU50/AO50)</f>
        <v>0</v>
      </c>
      <c r="AZ50" s="495" t="s">
        <v>1630</v>
      </c>
      <c r="BA50" s="66">
        <v>300</v>
      </c>
      <c r="BB50" s="693" t="str">
        <f t="shared" si="53"/>
        <v>Organizar, digitalizar y transferir el archivo documental de gestión correspondiente al periodo comprendido entre agosto de 2017 y agosto de 2018, ubicado en las instalaciones de la ADRES</v>
      </c>
      <c r="BC50" s="691">
        <f>(AC50/8)*3</f>
        <v>69375000</v>
      </c>
      <c r="BD50" s="716">
        <v>300</v>
      </c>
      <c r="BE50" s="678">
        <v>69375000</v>
      </c>
      <c r="BF50" s="690">
        <f t="shared" ref="BF50:BF56" si="80">+(BD50/BA50)</f>
        <v>1</v>
      </c>
      <c r="BG50" s="690">
        <f t="shared" ref="BG50:BG56" si="81">+(BE50/BC50)</f>
        <v>1</v>
      </c>
      <c r="BH50" s="690">
        <f t="shared" ref="BH50:BH56" si="82">+(BD50+AT50)/AM50</f>
        <v>0.47348951911220716</v>
      </c>
      <c r="BI50" s="690">
        <f t="shared" ref="BI50:BI56" si="83">+(BE50+AU50)/AO50</f>
        <v>0.375</v>
      </c>
      <c r="BJ50" s="859" t="s">
        <v>1771</v>
      </c>
      <c r="BK50" s="66">
        <v>300</v>
      </c>
      <c r="BL50" s="693" t="str">
        <f t="shared" si="58"/>
        <v>Organizar, digitalizar y transferir el archivo documental de gestión correspondiente al periodo comprendido entre agosto de 2017 y agosto de 2018, ubicado en las instalaciones de la ADRES</v>
      </c>
      <c r="BM50" s="691">
        <f>(AC50/8)*3</f>
        <v>69375000</v>
      </c>
      <c r="BN50" s="695"/>
      <c r="BO50" s="695"/>
      <c r="BP50" s="690">
        <f t="shared" ref="BP50:BP56" si="84">+(BN50/BK50)</f>
        <v>0</v>
      </c>
      <c r="BQ50" s="690">
        <f t="shared" ref="BQ50:BQ56" si="85">+(BO50/BM50)</f>
        <v>0</v>
      </c>
      <c r="BR50" s="690">
        <f t="shared" ref="BR50:BR56" si="86">+(BD50+AT50+BN50)/AM50</f>
        <v>0.47348951911220716</v>
      </c>
      <c r="BS50" s="690">
        <f t="shared" ref="BS50:BS56" si="87">+(BE50+AU50+BO50)/AO50</f>
        <v>0.375</v>
      </c>
      <c r="BT50" s="690"/>
      <c r="BU50" s="66">
        <v>111</v>
      </c>
      <c r="BV50" s="693" t="str">
        <f t="shared" si="63"/>
        <v>Organizar, digitalizar y transferir el archivo documental de gestión correspondiente al periodo comprendido entre agosto de 2017 y agosto de 2018, ubicado en las instalaciones de la ADRES</v>
      </c>
      <c r="BW50" s="691">
        <f>+AC50/8</f>
        <v>23125000</v>
      </c>
      <c r="BX50" s="695"/>
      <c r="BY50" s="695"/>
      <c r="BZ50" s="698">
        <f t="shared" ref="BZ50:BZ56" si="88">+(BX50/BU50)</f>
        <v>0</v>
      </c>
      <c r="CA50" s="698">
        <f t="shared" ref="CA50:CA56" si="89">+(BY50/BW50)</f>
        <v>0</v>
      </c>
      <c r="CB50" s="698">
        <f t="shared" ref="CB50:CB56" si="90">+(BD50+AT50+BN50+BX50)/AM50</f>
        <v>0.47348951911220716</v>
      </c>
      <c r="CC50" s="698">
        <f t="shared" ref="CC50:CC56" si="91">+(BE50+AU50+BO50+BY50)/AO50</f>
        <v>0.375</v>
      </c>
      <c r="CD50" s="698"/>
      <c r="CE50" s="697">
        <f t="shared" ref="CE50:CE56" si="92">IF(AND(AQ50=0,AT50=0),"No Prog ni Ejec",IF(AQ50=0,CONCATENATE("No Prog, Ejec=  ",AT50),AT50/AQ50))</f>
        <v>0.84</v>
      </c>
      <c r="CF50" s="697">
        <f t="shared" ref="CF50:CF56" si="93">IF(AND(AS50=0,AU50=0),"No Prog ni Ejec",IF(AS50=0,CONCATENATE("No Prog, Ejec=  ",AU50),AU50/AS50))</f>
        <v>0</v>
      </c>
      <c r="CG50" s="697">
        <f t="shared" ref="CG50:CG56" si="94">IF(AND(BA50=0,BD50=0),"No Prog ni Ejec",IF(BA50=0,CONCATENATE("No Prog, Ejec=  ",BD50),BD50/BA50))</f>
        <v>1</v>
      </c>
      <c r="CH50" s="697">
        <f t="shared" ref="CH50:CH56" si="95">IF(AND(BC50=0,BE50=0),"No Prog ni Ejec",IF(BC50=0,CONCATENATE("No Prog, Ejec=  ",BE50),BE50/BC50))</f>
        <v>1</v>
      </c>
      <c r="CI50" s="697">
        <f t="shared" ref="CI50:CI56" si="96">IF(AND(BK50=0,BN50=0),"No Prog ni Ejec",IF(BK50=0,CONCATENATE("No Prog, Ejec=  ",BN50),BN50/BK50))</f>
        <v>0</v>
      </c>
      <c r="CJ50" s="697">
        <f t="shared" ref="CJ50:CJ56" si="97">IF(AND(BM50=0,BO50=0),"No Prog ni Ejec",IF(BM50=0,CONCATENATE("No Prog, Ejec=  ",BO50),BO50/BM50))</f>
        <v>0</v>
      </c>
      <c r="CK50" s="697">
        <f t="shared" ref="CK50:CK56" si="98">IF(AND(BU50=0,BX50=0),"No Prog ni Ejec",IF(BU50=0,CONCATENATE("No Prog, Ejec=  ",BX50),BX50/BU50))</f>
        <v>0</v>
      </c>
      <c r="CL50" s="786">
        <f t="shared" ref="CL50:CL56" si="99">IF(AND(BW50=0,BY50=0),"No Prog ni Ejec",IF(BW50=0,CONCATENATE("No Prog, Ejec=  ",BY50),BY50/BW50))</f>
        <v>0</v>
      </c>
      <c r="CM50" s="136">
        <f t="shared" si="6"/>
        <v>0</v>
      </c>
      <c r="DA50" s="70">
        <v>10</v>
      </c>
    </row>
    <row r="51" spans="1:106" s="70" customFormat="1" ht="89.25" hidden="1" x14ac:dyDescent="0.2">
      <c r="A51" s="785">
        <v>11700</v>
      </c>
      <c r="B51" s="693" t="s">
        <v>14</v>
      </c>
      <c r="C51" s="693" t="s">
        <v>337</v>
      </c>
      <c r="D51" s="693"/>
      <c r="E51" s="693"/>
      <c r="F51" s="693"/>
      <c r="G51" s="693"/>
      <c r="H51" s="693"/>
      <c r="I51" s="693"/>
      <c r="J51" s="693"/>
      <c r="K51" s="693"/>
      <c r="L51" s="693"/>
      <c r="M51" s="693" t="s">
        <v>1023</v>
      </c>
      <c r="N51" s="693"/>
      <c r="O51" s="693"/>
      <c r="P51" s="693"/>
      <c r="Q51" s="693" t="s">
        <v>204</v>
      </c>
      <c r="R51" s="693" t="s">
        <v>204</v>
      </c>
      <c r="S51" s="695" t="s">
        <v>238</v>
      </c>
      <c r="T51" s="693" t="s">
        <v>94</v>
      </c>
      <c r="U51" s="693" t="s">
        <v>204</v>
      </c>
      <c r="V51" s="693" t="s">
        <v>204</v>
      </c>
      <c r="W51" s="695" t="s">
        <v>731</v>
      </c>
      <c r="X51" s="724" t="s">
        <v>461</v>
      </c>
      <c r="Y51" s="716" t="s">
        <v>51</v>
      </c>
      <c r="Z51" s="698">
        <v>1</v>
      </c>
      <c r="AA51" s="695" t="s">
        <v>709</v>
      </c>
      <c r="AB51" s="724" t="s">
        <v>605</v>
      </c>
      <c r="AC51" s="701">
        <v>0</v>
      </c>
      <c r="AD51" s="706">
        <v>1</v>
      </c>
      <c r="AE51" s="693" t="s">
        <v>18</v>
      </c>
      <c r="AF51" s="693" t="s">
        <v>305</v>
      </c>
      <c r="AG51" s="693" t="s">
        <v>204</v>
      </c>
      <c r="AH51" s="693" t="s">
        <v>638</v>
      </c>
      <c r="AI51" s="693" t="s">
        <v>1040</v>
      </c>
      <c r="AJ51" s="693" t="s">
        <v>1304</v>
      </c>
      <c r="AK51" s="693" t="s">
        <v>462</v>
      </c>
      <c r="AL51" s="693" t="s">
        <v>307</v>
      </c>
      <c r="AM51" s="698">
        <v>1</v>
      </c>
      <c r="AN51" s="693" t="str">
        <f t="shared" si="46"/>
        <v>Actualizar las TRD y someterlas a aprobación del Comité Institucional de Gestión y Desempeño</v>
      </c>
      <c r="AO51" s="703">
        <f t="shared" si="47"/>
        <v>0</v>
      </c>
      <c r="AP51" s="700" t="s">
        <v>48</v>
      </c>
      <c r="AQ51" s="698">
        <v>0</v>
      </c>
      <c r="AR51" s="693" t="str">
        <f t="shared" si="48"/>
        <v>Actualizar las TRD y someterlas a aprobación del Comité Institucional de Gestión y Desempeño</v>
      </c>
      <c r="AS51" s="691">
        <v>0</v>
      </c>
      <c r="AT51" s="491">
        <v>0</v>
      </c>
      <c r="AU51" s="866">
        <v>0</v>
      </c>
      <c r="AV51" s="690" t="e">
        <f t="shared" si="76"/>
        <v>#DIV/0!</v>
      </c>
      <c r="AW51" s="690" t="e">
        <f t="shared" si="77"/>
        <v>#DIV/0!</v>
      </c>
      <c r="AX51" s="690">
        <f t="shared" si="78"/>
        <v>0</v>
      </c>
      <c r="AY51" s="690" t="e">
        <f t="shared" si="79"/>
        <v>#DIV/0!</v>
      </c>
      <c r="AZ51" s="517" t="s">
        <v>1342</v>
      </c>
      <c r="BA51" s="698">
        <v>0</v>
      </c>
      <c r="BB51" s="693" t="str">
        <f t="shared" si="53"/>
        <v>Actualizar las TRD y someterlas a aprobación del Comité Institucional de Gestión y Desempeño</v>
      </c>
      <c r="BC51" s="691">
        <v>0</v>
      </c>
      <c r="BD51" s="716">
        <v>0</v>
      </c>
      <c r="BE51" s="691">
        <v>0</v>
      </c>
      <c r="BF51" s="690" t="e">
        <f t="shared" si="80"/>
        <v>#DIV/0!</v>
      </c>
      <c r="BG51" s="690" t="e">
        <f t="shared" si="81"/>
        <v>#DIV/0!</v>
      </c>
      <c r="BH51" s="690">
        <f t="shared" si="82"/>
        <v>0</v>
      </c>
      <c r="BI51" s="690" t="e">
        <f t="shared" si="83"/>
        <v>#DIV/0!</v>
      </c>
      <c r="BJ51" s="512" t="s">
        <v>1646</v>
      </c>
      <c r="BK51" s="698">
        <v>1</v>
      </c>
      <c r="BL51" s="693" t="str">
        <f t="shared" si="58"/>
        <v>Actualizar las TRD y someterlas a aprobación del Comité Institucional de Gestión y Desempeño</v>
      </c>
      <c r="BM51" s="691">
        <v>0</v>
      </c>
      <c r="BN51" s="695"/>
      <c r="BO51" s="695"/>
      <c r="BP51" s="690">
        <f t="shared" si="84"/>
        <v>0</v>
      </c>
      <c r="BQ51" s="690" t="e">
        <f t="shared" si="85"/>
        <v>#DIV/0!</v>
      </c>
      <c r="BR51" s="690">
        <f t="shared" si="86"/>
        <v>0</v>
      </c>
      <c r="BS51" s="690" t="e">
        <f t="shared" si="87"/>
        <v>#DIV/0!</v>
      </c>
      <c r="BT51" s="690"/>
      <c r="BU51" s="698">
        <v>0</v>
      </c>
      <c r="BV51" s="693" t="str">
        <f t="shared" si="63"/>
        <v>Actualizar las TRD y someterlas a aprobación del Comité Institucional de Gestión y Desempeño</v>
      </c>
      <c r="BW51" s="691">
        <v>0</v>
      </c>
      <c r="BX51" s="695"/>
      <c r="BY51" s="695"/>
      <c r="BZ51" s="698" t="e">
        <f t="shared" si="88"/>
        <v>#DIV/0!</v>
      </c>
      <c r="CA51" s="698" t="e">
        <f t="shared" si="89"/>
        <v>#DIV/0!</v>
      </c>
      <c r="CB51" s="698">
        <f t="shared" si="90"/>
        <v>0</v>
      </c>
      <c r="CC51" s="698" t="e">
        <f t="shared" si="91"/>
        <v>#DIV/0!</v>
      </c>
      <c r="CD51" s="698"/>
      <c r="CE51" s="697" t="str">
        <f t="shared" si="92"/>
        <v>No Prog ni Ejec</v>
      </c>
      <c r="CF51" s="697" t="str">
        <f t="shared" si="93"/>
        <v>No Prog ni Ejec</v>
      </c>
      <c r="CG51" s="697" t="str">
        <f t="shared" si="94"/>
        <v>No Prog ni Ejec</v>
      </c>
      <c r="CH51" s="697" t="str">
        <f t="shared" si="95"/>
        <v>No Prog ni Ejec</v>
      </c>
      <c r="CI51" s="697">
        <f t="shared" si="96"/>
        <v>0</v>
      </c>
      <c r="CJ51" s="697" t="str">
        <f t="shared" si="97"/>
        <v>No Prog ni Ejec</v>
      </c>
      <c r="CK51" s="697" t="str">
        <f t="shared" si="98"/>
        <v>No Prog ni Ejec</v>
      </c>
      <c r="CL51" s="786" t="str">
        <f t="shared" si="99"/>
        <v>No Prog ni Ejec</v>
      </c>
      <c r="CM51" s="136">
        <f t="shared" si="6"/>
        <v>0</v>
      </c>
      <c r="DA51" s="70">
        <v>10</v>
      </c>
    </row>
    <row r="52" spans="1:106" s="70" customFormat="1" ht="89.25" hidden="1" x14ac:dyDescent="0.2">
      <c r="A52" s="785">
        <v>11700</v>
      </c>
      <c r="B52" s="693" t="s">
        <v>14</v>
      </c>
      <c r="C52" s="693" t="s">
        <v>337</v>
      </c>
      <c r="D52" s="693"/>
      <c r="E52" s="693"/>
      <c r="F52" s="693"/>
      <c r="G52" s="693"/>
      <c r="H52" s="693"/>
      <c r="I52" s="693"/>
      <c r="J52" s="693"/>
      <c r="K52" s="693"/>
      <c r="L52" s="693"/>
      <c r="M52" s="693" t="s">
        <v>1023</v>
      </c>
      <c r="N52" s="693"/>
      <c r="O52" s="693"/>
      <c r="P52" s="693"/>
      <c r="Q52" s="693" t="s">
        <v>204</v>
      </c>
      <c r="R52" s="693" t="s">
        <v>204</v>
      </c>
      <c r="S52" s="695" t="s">
        <v>238</v>
      </c>
      <c r="T52" s="693" t="s">
        <v>94</v>
      </c>
      <c r="U52" s="693" t="s">
        <v>204</v>
      </c>
      <c r="V52" s="693" t="s">
        <v>204</v>
      </c>
      <c r="W52" s="695" t="s">
        <v>732</v>
      </c>
      <c r="X52" s="693" t="s">
        <v>607</v>
      </c>
      <c r="Y52" s="716" t="s">
        <v>391</v>
      </c>
      <c r="Z52" s="66">
        <v>1</v>
      </c>
      <c r="AA52" s="695" t="s">
        <v>710</v>
      </c>
      <c r="AB52" s="693" t="s">
        <v>606</v>
      </c>
      <c r="AC52" s="701">
        <v>0</v>
      </c>
      <c r="AD52" s="706">
        <v>1</v>
      </c>
      <c r="AE52" s="693" t="s">
        <v>18</v>
      </c>
      <c r="AF52" s="693" t="s">
        <v>305</v>
      </c>
      <c r="AG52" s="693" t="s">
        <v>204</v>
      </c>
      <c r="AH52" s="693" t="s">
        <v>638</v>
      </c>
      <c r="AI52" s="693" t="s">
        <v>1040</v>
      </c>
      <c r="AJ52" s="693" t="s">
        <v>204</v>
      </c>
      <c r="AK52" s="693" t="s">
        <v>645</v>
      </c>
      <c r="AL52" s="693" t="s">
        <v>204</v>
      </c>
      <c r="AM52" s="66">
        <v>1</v>
      </c>
      <c r="AN52" s="693" t="str">
        <f t="shared" si="46"/>
        <v>Realizar los estudios técnicos, de mercado y económicos para la valoración documental</v>
      </c>
      <c r="AO52" s="703">
        <f t="shared" si="47"/>
        <v>0</v>
      </c>
      <c r="AP52" s="700" t="s">
        <v>48</v>
      </c>
      <c r="AQ52" s="66">
        <v>0</v>
      </c>
      <c r="AR52" s="693" t="str">
        <f t="shared" si="48"/>
        <v>Realizar los estudios técnicos, de mercado y económicos para la valoración documental</v>
      </c>
      <c r="AS52" s="691">
        <v>0</v>
      </c>
      <c r="AT52" s="491">
        <v>0</v>
      </c>
      <c r="AU52" s="523">
        <v>0</v>
      </c>
      <c r="AV52" s="690" t="e">
        <f t="shared" si="76"/>
        <v>#DIV/0!</v>
      </c>
      <c r="AW52" s="690" t="e">
        <f t="shared" si="77"/>
        <v>#DIV/0!</v>
      </c>
      <c r="AX52" s="690">
        <f t="shared" si="78"/>
        <v>0</v>
      </c>
      <c r="AY52" s="690" t="e">
        <f t="shared" si="79"/>
        <v>#DIV/0!</v>
      </c>
      <c r="AZ52" s="517" t="s">
        <v>1342</v>
      </c>
      <c r="BA52" s="66">
        <v>0</v>
      </c>
      <c r="BB52" s="693" t="str">
        <f t="shared" si="53"/>
        <v>Realizar los estudios técnicos, de mercado y económicos para la valoración documental</v>
      </c>
      <c r="BC52" s="691">
        <v>0</v>
      </c>
      <c r="BD52" s="716">
        <v>0</v>
      </c>
      <c r="BE52" s="691">
        <v>0</v>
      </c>
      <c r="BF52" s="690" t="e">
        <f t="shared" si="80"/>
        <v>#DIV/0!</v>
      </c>
      <c r="BG52" s="690" t="e">
        <f t="shared" si="81"/>
        <v>#DIV/0!</v>
      </c>
      <c r="BH52" s="690">
        <f t="shared" si="82"/>
        <v>0</v>
      </c>
      <c r="BI52" s="690" t="e">
        <f t="shared" si="83"/>
        <v>#DIV/0!</v>
      </c>
      <c r="BJ52" s="512" t="s">
        <v>1646</v>
      </c>
      <c r="BK52" s="66">
        <v>1</v>
      </c>
      <c r="BL52" s="693" t="str">
        <f t="shared" si="58"/>
        <v>Realizar los estudios técnicos, de mercado y económicos para la valoración documental</v>
      </c>
      <c r="BM52" s="691">
        <v>0</v>
      </c>
      <c r="BN52" s="695"/>
      <c r="BO52" s="695"/>
      <c r="BP52" s="690">
        <f t="shared" si="84"/>
        <v>0</v>
      </c>
      <c r="BQ52" s="690" t="e">
        <f t="shared" si="85"/>
        <v>#DIV/0!</v>
      </c>
      <c r="BR52" s="690">
        <f t="shared" si="86"/>
        <v>0</v>
      </c>
      <c r="BS52" s="690" t="e">
        <f t="shared" si="87"/>
        <v>#DIV/0!</v>
      </c>
      <c r="BT52" s="690"/>
      <c r="BU52" s="66">
        <v>0</v>
      </c>
      <c r="BV52" s="693" t="str">
        <f t="shared" si="63"/>
        <v>Realizar los estudios técnicos, de mercado y económicos para la valoración documental</v>
      </c>
      <c r="BW52" s="691">
        <v>0</v>
      </c>
      <c r="BX52" s="695"/>
      <c r="BY52" s="695"/>
      <c r="BZ52" s="698" t="e">
        <f t="shared" si="88"/>
        <v>#DIV/0!</v>
      </c>
      <c r="CA52" s="698" t="e">
        <f t="shared" si="89"/>
        <v>#DIV/0!</v>
      </c>
      <c r="CB52" s="698">
        <f t="shared" si="90"/>
        <v>0</v>
      </c>
      <c r="CC52" s="698" t="e">
        <f t="shared" si="91"/>
        <v>#DIV/0!</v>
      </c>
      <c r="CD52" s="698"/>
      <c r="CE52" s="697" t="str">
        <f t="shared" si="92"/>
        <v>No Prog ni Ejec</v>
      </c>
      <c r="CF52" s="697" t="str">
        <f t="shared" si="93"/>
        <v>No Prog ni Ejec</v>
      </c>
      <c r="CG52" s="697" t="str">
        <f t="shared" si="94"/>
        <v>No Prog ni Ejec</v>
      </c>
      <c r="CH52" s="697" t="str">
        <f t="shared" si="95"/>
        <v>No Prog ni Ejec</v>
      </c>
      <c r="CI52" s="697">
        <f t="shared" si="96"/>
        <v>0</v>
      </c>
      <c r="CJ52" s="697" t="str">
        <f t="shared" si="97"/>
        <v>No Prog ni Ejec</v>
      </c>
      <c r="CK52" s="697" t="str">
        <f t="shared" si="98"/>
        <v>No Prog ni Ejec</v>
      </c>
      <c r="CL52" s="786" t="str">
        <f t="shared" si="99"/>
        <v>No Prog ni Ejec</v>
      </c>
      <c r="CM52" s="136">
        <f t="shared" si="6"/>
        <v>0</v>
      </c>
      <c r="DA52" s="70">
        <v>10</v>
      </c>
    </row>
    <row r="53" spans="1:106" s="70" customFormat="1" ht="89.25" hidden="1" x14ac:dyDescent="0.2">
      <c r="A53" s="785">
        <v>11700</v>
      </c>
      <c r="B53" s="693" t="s">
        <v>14</v>
      </c>
      <c r="C53" s="693" t="s">
        <v>337</v>
      </c>
      <c r="D53" s="693"/>
      <c r="E53" s="693"/>
      <c r="F53" s="693"/>
      <c r="G53" s="693"/>
      <c r="H53" s="693"/>
      <c r="I53" s="693"/>
      <c r="J53" s="693"/>
      <c r="K53" s="693"/>
      <c r="L53" s="693"/>
      <c r="M53" s="693" t="s">
        <v>1023</v>
      </c>
      <c r="N53" s="693"/>
      <c r="O53" s="693"/>
      <c r="P53" s="693"/>
      <c r="Q53" s="693" t="s">
        <v>204</v>
      </c>
      <c r="R53" s="693" t="s">
        <v>204</v>
      </c>
      <c r="S53" s="695" t="s">
        <v>238</v>
      </c>
      <c r="T53" s="693" t="s">
        <v>94</v>
      </c>
      <c r="U53" s="693" t="s">
        <v>204</v>
      </c>
      <c r="V53" s="693" t="s">
        <v>204</v>
      </c>
      <c r="W53" s="695" t="s">
        <v>733</v>
      </c>
      <c r="X53" s="693" t="s">
        <v>1631</v>
      </c>
      <c r="Y53" s="716" t="s">
        <v>391</v>
      </c>
      <c r="Z53" s="67">
        <v>1</v>
      </c>
      <c r="AA53" s="695" t="s">
        <v>711</v>
      </c>
      <c r="AB53" s="693" t="s">
        <v>608</v>
      </c>
      <c r="AC53" s="701">
        <v>0</v>
      </c>
      <c r="AD53" s="706">
        <v>1</v>
      </c>
      <c r="AE53" s="693" t="s">
        <v>17</v>
      </c>
      <c r="AF53" s="693" t="s">
        <v>26</v>
      </c>
      <c r="AG53" s="693" t="s">
        <v>634</v>
      </c>
      <c r="AH53" s="693" t="s">
        <v>638</v>
      </c>
      <c r="AI53" s="693" t="s">
        <v>1040</v>
      </c>
      <c r="AJ53" s="693" t="s">
        <v>204</v>
      </c>
      <c r="AK53" s="693" t="s">
        <v>1632</v>
      </c>
      <c r="AL53" s="693" t="s">
        <v>204</v>
      </c>
      <c r="AM53" s="66">
        <v>1</v>
      </c>
      <c r="AN53" s="693" t="str">
        <f t="shared" ref="AN53:AN73" si="100">+AB53</f>
        <v>Definir la política de cero papel y someterla a aprobación del Comité Institucional de Gestión y Desempeño</v>
      </c>
      <c r="AO53" s="703">
        <f>+AC53</f>
        <v>0</v>
      </c>
      <c r="AP53" s="700" t="s">
        <v>48</v>
      </c>
      <c r="AQ53" s="66">
        <v>0</v>
      </c>
      <c r="AR53" s="693" t="str">
        <f>+AN53</f>
        <v>Definir la política de cero papel y someterla a aprobación del Comité Institucional de Gestión y Desempeño</v>
      </c>
      <c r="AS53" s="691">
        <v>0</v>
      </c>
      <c r="AT53" s="491">
        <v>0</v>
      </c>
      <c r="AU53" s="523">
        <v>0</v>
      </c>
      <c r="AV53" s="690" t="e">
        <f t="shared" si="76"/>
        <v>#DIV/0!</v>
      </c>
      <c r="AW53" s="690" t="e">
        <f t="shared" si="77"/>
        <v>#DIV/0!</v>
      </c>
      <c r="AX53" s="690">
        <f t="shared" si="78"/>
        <v>0</v>
      </c>
      <c r="AY53" s="690" t="e">
        <f t="shared" si="79"/>
        <v>#DIV/0!</v>
      </c>
      <c r="AZ53" s="517" t="s">
        <v>1342</v>
      </c>
      <c r="BA53" s="66">
        <v>1</v>
      </c>
      <c r="BB53" s="693" t="str">
        <f>+AN53</f>
        <v>Definir la política de cero papel y someterla a aprobación del Comité Institucional de Gestión y Desempeño</v>
      </c>
      <c r="BC53" s="691">
        <v>0</v>
      </c>
      <c r="BD53" s="680">
        <v>1</v>
      </c>
      <c r="BE53" s="691">
        <v>0</v>
      </c>
      <c r="BF53" s="690">
        <f t="shared" si="80"/>
        <v>1</v>
      </c>
      <c r="BG53" s="690" t="e">
        <f t="shared" si="81"/>
        <v>#DIV/0!</v>
      </c>
      <c r="BH53" s="690">
        <f t="shared" si="82"/>
        <v>1</v>
      </c>
      <c r="BI53" s="690" t="e">
        <f t="shared" si="83"/>
        <v>#DIV/0!</v>
      </c>
      <c r="BJ53" s="512" t="s">
        <v>1647</v>
      </c>
      <c r="BK53" s="66">
        <v>0</v>
      </c>
      <c r="BL53" s="693" t="str">
        <f>+AN53</f>
        <v>Definir la política de cero papel y someterla a aprobación del Comité Institucional de Gestión y Desempeño</v>
      </c>
      <c r="BM53" s="691">
        <v>0</v>
      </c>
      <c r="BN53" s="695"/>
      <c r="BO53" s="695"/>
      <c r="BP53" s="690" t="e">
        <f t="shared" si="84"/>
        <v>#DIV/0!</v>
      </c>
      <c r="BQ53" s="690" t="e">
        <f t="shared" si="85"/>
        <v>#DIV/0!</v>
      </c>
      <c r="BR53" s="690">
        <f t="shared" si="86"/>
        <v>1</v>
      </c>
      <c r="BS53" s="690" t="e">
        <f t="shared" si="87"/>
        <v>#DIV/0!</v>
      </c>
      <c r="BT53" s="690"/>
      <c r="BU53" s="66">
        <v>0</v>
      </c>
      <c r="BV53" s="693" t="str">
        <f>+AN53</f>
        <v>Definir la política de cero papel y someterla a aprobación del Comité Institucional de Gestión y Desempeño</v>
      </c>
      <c r="BW53" s="691">
        <v>0</v>
      </c>
      <c r="BX53" s="695"/>
      <c r="BY53" s="695"/>
      <c r="BZ53" s="698" t="e">
        <f t="shared" si="88"/>
        <v>#DIV/0!</v>
      </c>
      <c r="CA53" s="698" t="e">
        <f t="shared" si="89"/>
        <v>#DIV/0!</v>
      </c>
      <c r="CB53" s="698">
        <f t="shared" si="90"/>
        <v>1</v>
      </c>
      <c r="CC53" s="698" t="e">
        <f t="shared" si="91"/>
        <v>#DIV/0!</v>
      </c>
      <c r="CD53" s="698"/>
      <c r="CE53" s="697" t="str">
        <f t="shared" si="92"/>
        <v>No Prog ni Ejec</v>
      </c>
      <c r="CF53" s="697" t="str">
        <f t="shared" si="93"/>
        <v>No Prog ni Ejec</v>
      </c>
      <c r="CG53" s="697">
        <f t="shared" si="94"/>
        <v>1</v>
      </c>
      <c r="CH53" s="697" t="str">
        <f t="shared" si="95"/>
        <v>No Prog ni Ejec</v>
      </c>
      <c r="CI53" s="697" t="str">
        <f t="shared" si="96"/>
        <v>No Prog ni Ejec</v>
      </c>
      <c r="CJ53" s="697" t="str">
        <f t="shared" si="97"/>
        <v>No Prog ni Ejec</v>
      </c>
      <c r="CK53" s="697" t="str">
        <f t="shared" si="98"/>
        <v>No Prog ni Ejec</v>
      </c>
      <c r="CL53" s="786" t="str">
        <f t="shared" si="99"/>
        <v>No Prog ni Ejec</v>
      </c>
      <c r="CM53" s="136">
        <f t="shared" si="6"/>
        <v>0</v>
      </c>
      <c r="CW53" s="125">
        <v>6</v>
      </c>
    </row>
    <row r="54" spans="1:106" s="70" customFormat="1" ht="89.25" hidden="1" x14ac:dyDescent="0.2">
      <c r="A54" s="785">
        <v>11700</v>
      </c>
      <c r="B54" s="693" t="s">
        <v>14</v>
      </c>
      <c r="C54" s="693" t="s">
        <v>330</v>
      </c>
      <c r="D54" s="693"/>
      <c r="E54" s="693" t="s">
        <v>1023</v>
      </c>
      <c r="F54" s="693"/>
      <c r="G54" s="693"/>
      <c r="H54" s="693"/>
      <c r="I54" s="693"/>
      <c r="J54" s="693"/>
      <c r="K54" s="693"/>
      <c r="L54" s="693"/>
      <c r="M54" s="693"/>
      <c r="N54" s="693"/>
      <c r="O54" s="693"/>
      <c r="P54" s="693"/>
      <c r="Q54" s="693" t="s">
        <v>204</v>
      </c>
      <c r="R54" s="693" t="s">
        <v>204</v>
      </c>
      <c r="S54" s="695" t="s">
        <v>238</v>
      </c>
      <c r="T54" s="693" t="s">
        <v>94</v>
      </c>
      <c r="U54" s="693" t="s">
        <v>204</v>
      </c>
      <c r="V54" s="693" t="s">
        <v>204</v>
      </c>
      <c r="W54" s="695" t="s">
        <v>734</v>
      </c>
      <c r="X54" s="693" t="s">
        <v>1633</v>
      </c>
      <c r="Y54" s="716" t="s">
        <v>391</v>
      </c>
      <c r="Z54" s="67">
        <v>1</v>
      </c>
      <c r="AA54" s="695" t="s">
        <v>712</v>
      </c>
      <c r="AB54" s="693" t="s">
        <v>609</v>
      </c>
      <c r="AC54" s="701">
        <v>0</v>
      </c>
      <c r="AD54" s="706">
        <v>1</v>
      </c>
      <c r="AE54" s="693" t="s">
        <v>17</v>
      </c>
      <c r="AF54" s="693" t="s">
        <v>26</v>
      </c>
      <c r="AG54" s="693" t="s">
        <v>634</v>
      </c>
      <c r="AH54" s="693" t="s">
        <v>638</v>
      </c>
      <c r="AI54" s="693" t="s">
        <v>1040</v>
      </c>
      <c r="AJ54" s="693" t="s">
        <v>204</v>
      </c>
      <c r="AK54" s="693" t="s">
        <v>1634</v>
      </c>
      <c r="AL54" s="693" t="s">
        <v>204</v>
      </c>
      <c r="AM54" s="66">
        <v>1</v>
      </c>
      <c r="AN54" s="693" t="str">
        <f t="shared" si="100"/>
        <v>Definir la política y los indicadores de gestión ambiental y someterlos a aprobación del Comité Institucional de Desarrollo Administrativo</v>
      </c>
      <c r="AO54" s="703">
        <f>+AC54</f>
        <v>0</v>
      </c>
      <c r="AP54" s="700" t="s">
        <v>46</v>
      </c>
      <c r="AQ54" s="66">
        <v>0</v>
      </c>
      <c r="AR54" s="693" t="str">
        <f>+AN54</f>
        <v>Definir la política y los indicadores de gestión ambiental y someterlos a aprobación del Comité Institucional de Desarrollo Administrativo</v>
      </c>
      <c r="AS54" s="691">
        <v>0</v>
      </c>
      <c r="AT54" s="491">
        <v>0</v>
      </c>
      <c r="AU54" s="523">
        <v>0</v>
      </c>
      <c r="AV54" s="690" t="e">
        <f t="shared" si="76"/>
        <v>#DIV/0!</v>
      </c>
      <c r="AW54" s="690" t="e">
        <f t="shared" si="77"/>
        <v>#DIV/0!</v>
      </c>
      <c r="AX54" s="690">
        <f t="shared" si="78"/>
        <v>0</v>
      </c>
      <c r="AY54" s="690" t="e">
        <f t="shared" si="79"/>
        <v>#DIV/0!</v>
      </c>
      <c r="AZ54" s="517" t="s">
        <v>1342</v>
      </c>
      <c r="BA54" s="66">
        <v>0</v>
      </c>
      <c r="BB54" s="693" t="str">
        <f>+AN54</f>
        <v>Definir la política y los indicadores de gestión ambiental y someterlos a aprobación del Comité Institucional de Desarrollo Administrativo</v>
      </c>
      <c r="BC54" s="691">
        <v>0</v>
      </c>
      <c r="BD54" s="716">
        <v>0</v>
      </c>
      <c r="BE54" s="691">
        <v>0</v>
      </c>
      <c r="BF54" s="690" t="e">
        <f t="shared" si="80"/>
        <v>#DIV/0!</v>
      </c>
      <c r="BG54" s="690" t="e">
        <f t="shared" si="81"/>
        <v>#DIV/0!</v>
      </c>
      <c r="BH54" s="690">
        <f t="shared" si="82"/>
        <v>0</v>
      </c>
      <c r="BI54" s="690" t="e">
        <f t="shared" si="83"/>
        <v>#DIV/0!</v>
      </c>
      <c r="BJ54" s="512" t="s">
        <v>1646</v>
      </c>
      <c r="BK54" s="66">
        <v>1</v>
      </c>
      <c r="BL54" s="693" t="str">
        <f>+AN54</f>
        <v>Definir la política y los indicadores de gestión ambiental y someterlos a aprobación del Comité Institucional de Desarrollo Administrativo</v>
      </c>
      <c r="BM54" s="691">
        <v>0</v>
      </c>
      <c r="BN54" s="695"/>
      <c r="BO54" s="695"/>
      <c r="BP54" s="690">
        <f t="shared" si="84"/>
        <v>0</v>
      </c>
      <c r="BQ54" s="690" t="e">
        <f t="shared" si="85"/>
        <v>#DIV/0!</v>
      </c>
      <c r="BR54" s="690">
        <f t="shared" si="86"/>
        <v>0</v>
      </c>
      <c r="BS54" s="690" t="e">
        <f t="shared" si="87"/>
        <v>#DIV/0!</v>
      </c>
      <c r="BT54" s="690"/>
      <c r="BU54" s="66">
        <v>0</v>
      </c>
      <c r="BV54" s="693" t="str">
        <f>+AN54</f>
        <v>Definir la política y los indicadores de gestión ambiental y someterlos a aprobación del Comité Institucional de Desarrollo Administrativo</v>
      </c>
      <c r="BW54" s="691">
        <v>0</v>
      </c>
      <c r="BX54" s="695"/>
      <c r="BY54" s="695"/>
      <c r="BZ54" s="698" t="e">
        <f t="shared" si="88"/>
        <v>#DIV/0!</v>
      </c>
      <c r="CA54" s="698" t="e">
        <f t="shared" si="89"/>
        <v>#DIV/0!</v>
      </c>
      <c r="CB54" s="698">
        <f t="shared" si="90"/>
        <v>0</v>
      </c>
      <c r="CC54" s="698" t="e">
        <f t="shared" si="91"/>
        <v>#DIV/0!</v>
      </c>
      <c r="CD54" s="698"/>
      <c r="CE54" s="697" t="str">
        <f t="shared" si="92"/>
        <v>No Prog ni Ejec</v>
      </c>
      <c r="CF54" s="697" t="str">
        <f t="shared" si="93"/>
        <v>No Prog ni Ejec</v>
      </c>
      <c r="CG54" s="697" t="str">
        <f t="shared" si="94"/>
        <v>No Prog ni Ejec</v>
      </c>
      <c r="CH54" s="697" t="str">
        <f t="shared" si="95"/>
        <v>No Prog ni Ejec</v>
      </c>
      <c r="CI54" s="697">
        <f t="shared" si="96"/>
        <v>0</v>
      </c>
      <c r="CJ54" s="697" t="str">
        <f t="shared" si="97"/>
        <v>No Prog ni Ejec</v>
      </c>
      <c r="CK54" s="697" t="str">
        <f t="shared" si="98"/>
        <v>No Prog ni Ejec</v>
      </c>
      <c r="CL54" s="786" t="str">
        <f t="shared" si="99"/>
        <v>No Prog ni Ejec</v>
      </c>
      <c r="CM54" s="136">
        <f t="shared" si="6"/>
        <v>0</v>
      </c>
      <c r="CW54" s="125">
        <v>6</v>
      </c>
    </row>
    <row r="55" spans="1:106" s="70" customFormat="1" ht="127.5" hidden="1" x14ac:dyDescent="0.2">
      <c r="A55" s="785">
        <v>11700</v>
      </c>
      <c r="B55" s="693" t="s">
        <v>14</v>
      </c>
      <c r="C55" s="693" t="s">
        <v>330</v>
      </c>
      <c r="D55" s="693"/>
      <c r="E55" s="693" t="s">
        <v>1023</v>
      </c>
      <c r="F55" s="693"/>
      <c r="G55" s="693"/>
      <c r="H55" s="693"/>
      <c r="I55" s="693"/>
      <c r="J55" s="693"/>
      <c r="K55" s="693"/>
      <c r="L55" s="693"/>
      <c r="M55" s="693"/>
      <c r="N55" s="693"/>
      <c r="O55" s="693"/>
      <c r="P55" s="693"/>
      <c r="Q55" s="693" t="s">
        <v>204</v>
      </c>
      <c r="R55" s="693" t="s">
        <v>204</v>
      </c>
      <c r="S55" s="695" t="s">
        <v>238</v>
      </c>
      <c r="T55" s="693" t="s">
        <v>94</v>
      </c>
      <c r="U55" s="693" t="s">
        <v>204</v>
      </c>
      <c r="V55" s="693" t="s">
        <v>204</v>
      </c>
      <c r="W55" s="695" t="s">
        <v>735</v>
      </c>
      <c r="X55" s="693" t="s">
        <v>707</v>
      </c>
      <c r="Y55" s="716" t="s">
        <v>391</v>
      </c>
      <c r="Z55" s="67">
        <v>1</v>
      </c>
      <c r="AA55" s="695" t="s">
        <v>713</v>
      </c>
      <c r="AB55" s="693" t="s">
        <v>610</v>
      </c>
      <c r="AC55" s="701">
        <v>0</v>
      </c>
      <c r="AD55" s="706">
        <v>1</v>
      </c>
      <c r="AE55" s="693" t="s">
        <v>17</v>
      </c>
      <c r="AF55" s="693" t="s">
        <v>295</v>
      </c>
      <c r="AG55" s="693" t="s">
        <v>634</v>
      </c>
      <c r="AH55" s="693" t="s">
        <v>638</v>
      </c>
      <c r="AI55" s="693" t="s">
        <v>1040</v>
      </c>
      <c r="AJ55" s="693" t="s">
        <v>638</v>
      </c>
      <c r="AK55" s="693" t="s">
        <v>708</v>
      </c>
      <c r="AL55" s="693" t="s">
        <v>204</v>
      </c>
      <c r="AM55" s="66">
        <v>1</v>
      </c>
      <c r="AN55" s="693" t="str">
        <f t="shared" si="100"/>
        <v>Revisar los formatos de los procesos a cargo de la Dirección Administrativa y Financiera para determinar su conveniencia</v>
      </c>
      <c r="AO55" s="703">
        <f>+AC55</f>
        <v>0</v>
      </c>
      <c r="AP55" s="700" t="s">
        <v>46</v>
      </c>
      <c r="AQ55" s="66">
        <v>1</v>
      </c>
      <c r="AR55" s="693" t="str">
        <f>+AN55</f>
        <v>Revisar los formatos de los procesos a cargo de la Dirección Administrativa y Financiera para determinar su conveniencia</v>
      </c>
      <c r="AS55" s="691">
        <v>0</v>
      </c>
      <c r="AT55" s="491">
        <v>1</v>
      </c>
      <c r="AU55" s="523">
        <v>0</v>
      </c>
      <c r="AV55" s="690">
        <f t="shared" si="76"/>
        <v>1</v>
      </c>
      <c r="AW55" s="690" t="e">
        <f t="shared" si="77"/>
        <v>#DIV/0!</v>
      </c>
      <c r="AX55" s="690">
        <f t="shared" si="78"/>
        <v>1</v>
      </c>
      <c r="AY55" s="690" t="e">
        <f t="shared" si="79"/>
        <v>#DIV/0!</v>
      </c>
      <c r="AZ55" s="517" t="s">
        <v>1635</v>
      </c>
      <c r="BA55" s="66">
        <v>0</v>
      </c>
      <c r="BB55" s="693" t="str">
        <f>+AN55</f>
        <v>Revisar los formatos de los procesos a cargo de la Dirección Administrativa y Financiera para determinar su conveniencia</v>
      </c>
      <c r="BC55" s="691">
        <v>0</v>
      </c>
      <c r="BD55" s="716">
        <v>0</v>
      </c>
      <c r="BE55" s="691">
        <v>0</v>
      </c>
      <c r="BF55" s="690" t="e">
        <f t="shared" si="80"/>
        <v>#DIV/0!</v>
      </c>
      <c r="BG55" s="690" t="e">
        <f t="shared" si="81"/>
        <v>#DIV/0!</v>
      </c>
      <c r="BH55" s="690">
        <f t="shared" si="82"/>
        <v>1</v>
      </c>
      <c r="BI55" s="690" t="e">
        <f t="shared" si="83"/>
        <v>#DIV/0!</v>
      </c>
      <c r="BJ55" s="512" t="s">
        <v>1646</v>
      </c>
      <c r="BK55" s="66">
        <v>0</v>
      </c>
      <c r="BL55" s="693" t="str">
        <f>+AN55</f>
        <v>Revisar los formatos de los procesos a cargo de la Dirección Administrativa y Financiera para determinar su conveniencia</v>
      </c>
      <c r="BM55" s="691">
        <v>0</v>
      </c>
      <c r="BN55" s="695"/>
      <c r="BO55" s="695"/>
      <c r="BP55" s="690" t="e">
        <f t="shared" si="84"/>
        <v>#DIV/0!</v>
      </c>
      <c r="BQ55" s="690" t="e">
        <f t="shared" si="85"/>
        <v>#DIV/0!</v>
      </c>
      <c r="BR55" s="690">
        <f t="shared" si="86"/>
        <v>1</v>
      </c>
      <c r="BS55" s="690" t="e">
        <f t="shared" si="87"/>
        <v>#DIV/0!</v>
      </c>
      <c r="BT55" s="690"/>
      <c r="BU55" s="66">
        <v>0</v>
      </c>
      <c r="BV55" s="693" t="str">
        <f>+AN55</f>
        <v>Revisar los formatos de los procesos a cargo de la Dirección Administrativa y Financiera para determinar su conveniencia</v>
      </c>
      <c r="BW55" s="691">
        <v>0</v>
      </c>
      <c r="BX55" s="695"/>
      <c r="BY55" s="695"/>
      <c r="BZ55" s="698" t="e">
        <f t="shared" si="88"/>
        <v>#DIV/0!</v>
      </c>
      <c r="CA55" s="698" t="e">
        <f t="shared" si="89"/>
        <v>#DIV/0!</v>
      </c>
      <c r="CB55" s="698">
        <f t="shared" si="90"/>
        <v>1</v>
      </c>
      <c r="CC55" s="698" t="e">
        <f t="shared" si="91"/>
        <v>#DIV/0!</v>
      </c>
      <c r="CD55" s="698"/>
      <c r="CE55" s="697">
        <f t="shared" si="92"/>
        <v>1</v>
      </c>
      <c r="CF55" s="697" t="str">
        <f t="shared" si="93"/>
        <v>No Prog ni Ejec</v>
      </c>
      <c r="CG55" s="697" t="str">
        <f t="shared" si="94"/>
        <v>No Prog ni Ejec</v>
      </c>
      <c r="CH55" s="697" t="str">
        <f t="shared" si="95"/>
        <v>No Prog ni Ejec</v>
      </c>
      <c r="CI55" s="697" t="str">
        <f t="shared" si="96"/>
        <v>No Prog ni Ejec</v>
      </c>
      <c r="CJ55" s="697" t="str">
        <f t="shared" si="97"/>
        <v>No Prog ni Ejec</v>
      </c>
      <c r="CK55" s="697" t="str">
        <f t="shared" si="98"/>
        <v>No Prog ni Ejec</v>
      </c>
      <c r="CL55" s="786" t="str">
        <f t="shared" si="99"/>
        <v>No Prog ni Ejec</v>
      </c>
      <c r="CM55" s="136">
        <f t="shared" si="6"/>
        <v>0</v>
      </c>
      <c r="CW55" s="125">
        <v>6</v>
      </c>
    </row>
    <row r="56" spans="1:106" s="70" customFormat="1" ht="267.75" hidden="1" x14ac:dyDescent="0.2">
      <c r="A56" s="785">
        <v>11700</v>
      </c>
      <c r="B56" s="693" t="s">
        <v>14</v>
      </c>
      <c r="C56" s="724" t="s">
        <v>675</v>
      </c>
      <c r="D56" s="724"/>
      <c r="E56" s="724"/>
      <c r="F56" s="724" t="s">
        <v>1023</v>
      </c>
      <c r="G56" s="724" t="s">
        <v>1023</v>
      </c>
      <c r="H56" s="724"/>
      <c r="I56" s="724" t="s">
        <v>1023</v>
      </c>
      <c r="J56" s="724"/>
      <c r="K56" s="724"/>
      <c r="L56" s="724" t="s">
        <v>1023</v>
      </c>
      <c r="M56" s="724"/>
      <c r="N56" s="724"/>
      <c r="O56" s="724"/>
      <c r="P56" s="724"/>
      <c r="Q56" s="693" t="s">
        <v>204</v>
      </c>
      <c r="R56" s="693" t="s">
        <v>204</v>
      </c>
      <c r="S56" s="695" t="s">
        <v>238</v>
      </c>
      <c r="T56" s="693" t="s">
        <v>94</v>
      </c>
      <c r="U56" s="693" t="s">
        <v>204</v>
      </c>
      <c r="V56" s="693" t="s">
        <v>204</v>
      </c>
      <c r="W56" s="695" t="s">
        <v>736</v>
      </c>
      <c r="X56" s="693" t="s">
        <v>698</v>
      </c>
      <c r="Y56" s="716" t="s">
        <v>391</v>
      </c>
      <c r="Z56" s="715">
        <v>1</v>
      </c>
      <c r="AA56" s="695" t="s">
        <v>714</v>
      </c>
      <c r="AB56" s="693" t="s">
        <v>682</v>
      </c>
      <c r="AC56" s="1121">
        <v>106329768</v>
      </c>
      <c r="AD56" s="706">
        <v>1</v>
      </c>
      <c r="AE56" s="693" t="s">
        <v>16</v>
      </c>
      <c r="AF56" s="693" t="s">
        <v>21</v>
      </c>
      <c r="AG56" s="693" t="s">
        <v>204</v>
      </c>
      <c r="AH56" s="693" t="s">
        <v>638</v>
      </c>
      <c r="AI56" s="693" t="s">
        <v>77</v>
      </c>
      <c r="AJ56" s="693" t="s">
        <v>1299</v>
      </c>
      <c r="AK56" s="693" t="s">
        <v>706</v>
      </c>
      <c r="AL56" s="693" t="s">
        <v>43</v>
      </c>
      <c r="AM56" s="715">
        <v>1</v>
      </c>
      <c r="AN56" s="693" t="str">
        <f t="shared" si="100"/>
        <v xml:space="preserve">Socializar y divulgar las Políticas de SST y Prevención de alcohol y drogas a todos los servidores públicos y partes interesadas. </v>
      </c>
      <c r="AO56" s="965">
        <f>+AC56</f>
        <v>106329768</v>
      </c>
      <c r="AP56" s="700" t="s">
        <v>46</v>
      </c>
      <c r="AQ56" s="163">
        <v>1</v>
      </c>
      <c r="AR56" s="693" t="str">
        <f>+AN56</f>
        <v xml:space="preserve">Socializar y divulgar las Políticas de SST y Prevención de alcohol y drogas a todos los servidores públicos y partes interesadas. </v>
      </c>
      <c r="AS56" s="1121">
        <f>+AO56/4</f>
        <v>26582442</v>
      </c>
      <c r="AT56" s="491">
        <v>1</v>
      </c>
      <c r="AU56" s="1112">
        <f>3692006+3692006+4430407+4430407</f>
        <v>16244826</v>
      </c>
      <c r="AV56" s="690">
        <f t="shared" si="76"/>
        <v>1</v>
      </c>
      <c r="AW56" s="960">
        <f t="shared" si="77"/>
        <v>0.61111112365071651</v>
      </c>
      <c r="AX56" s="690">
        <f t="shared" si="78"/>
        <v>1</v>
      </c>
      <c r="AY56" s="960">
        <f t="shared" si="79"/>
        <v>0.15277778091267913</v>
      </c>
      <c r="AZ56" s="490" t="s">
        <v>1636</v>
      </c>
      <c r="BA56" s="163">
        <v>0</v>
      </c>
      <c r="BB56" s="693" t="str">
        <f>+AN56</f>
        <v xml:space="preserve">Socializar y divulgar las Políticas de SST y Prevención de alcohol y drogas a todos los servidores públicos y partes interesadas. </v>
      </c>
      <c r="BC56" s="1110">
        <f>$AC$56/4</f>
        <v>26582442</v>
      </c>
      <c r="BD56" s="716">
        <v>0</v>
      </c>
      <c r="BE56" s="963">
        <f>4430407+4430407+4430407</f>
        <v>13291221</v>
      </c>
      <c r="BF56" s="690" t="e">
        <f t="shared" si="80"/>
        <v>#DIV/0!</v>
      </c>
      <c r="BG56" s="960">
        <f t="shared" si="81"/>
        <v>0.5</v>
      </c>
      <c r="BH56" s="690">
        <f t="shared" si="82"/>
        <v>1</v>
      </c>
      <c r="BI56" s="960">
        <f t="shared" si="83"/>
        <v>0.27777778091267913</v>
      </c>
      <c r="BJ56" s="512" t="s">
        <v>1343</v>
      </c>
      <c r="BK56" s="163">
        <v>0</v>
      </c>
      <c r="BL56" s="693" t="str">
        <f>+AN56</f>
        <v xml:space="preserve">Socializar y divulgar las Políticas de SST y Prevención de alcohol y drogas a todos los servidores públicos y partes interesadas. </v>
      </c>
      <c r="BM56" s="1110">
        <f>$AC$56/4</f>
        <v>26582442</v>
      </c>
      <c r="BN56" s="695"/>
      <c r="BO56" s="968"/>
      <c r="BP56" s="690" t="e">
        <f t="shared" si="84"/>
        <v>#DIV/0!</v>
      </c>
      <c r="BQ56" s="960">
        <f t="shared" si="85"/>
        <v>0</v>
      </c>
      <c r="BR56" s="690">
        <f t="shared" si="86"/>
        <v>1</v>
      </c>
      <c r="BS56" s="960">
        <f t="shared" si="87"/>
        <v>0.27777778091267913</v>
      </c>
      <c r="BT56" s="690"/>
      <c r="BU56" s="163">
        <v>0</v>
      </c>
      <c r="BV56" s="693" t="str">
        <f>+AN56</f>
        <v xml:space="preserve">Socializar y divulgar las Políticas de SST y Prevención de alcohol y drogas a todos los servidores públicos y partes interesadas. </v>
      </c>
      <c r="BW56" s="1110">
        <f>$AC$56/4</f>
        <v>26582442</v>
      </c>
      <c r="BX56" s="695"/>
      <c r="BY56" s="968"/>
      <c r="BZ56" s="698" t="e">
        <f t="shared" si="88"/>
        <v>#DIV/0!</v>
      </c>
      <c r="CA56" s="957">
        <f t="shared" si="89"/>
        <v>0</v>
      </c>
      <c r="CB56" s="698">
        <f t="shared" si="90"/>
        <v>1</v>
      </c>
      <c r="CC56" s="957">
        <f t="shared" si="91"/>
        <v>0.27777778091267913</v>
      </c>
      <c r="CD56" s="698"/>
      <c r="CE56" s="697">
        <f t="shared" si="92"/>
        <v>1</v>
      </c>
      <c r="CF56" s="1018">
        <f t="shared" si="93"/>
        <v>0.61111112365071651</v>
      </c>
      <c r="CG56" s="697" t="str">
        <f t="shared" si="94"/>
        <v>No Prog ni Ejec</v>
      </c>
      <c r="CH56" s="1018">
        <f t="shared" si="95"/>
        <v>0.5</v>
      </c>
      <c r="CI56" s="697" t="str">
        <f t="shared" si="96"/>
        <v>No Prog ni Ejec</v>
      </c>
      <c r="CJ56" s="1018">
        <f t="shared" si="97"/>
        <v>0</v>
      </c>
      <c r="CK56" s="697" t="str">
        <f t="shared" si="98"/>
        <v>No Prog ni Ejec</v>
      </c>
      <c r="CL56" s="1017">
        <f t="shared" si="99"/>
        <v>0</v>
      </c>
      <c r="CM56" s="136">
        <f t="shared" si="6"/>
        <v>0</v>
      </c>
      <c r="CU56" s="70">
        <v>4</v>
      </c>
    </row>
    <row r="57" spans="1:106" s="70" customFormat="1" ht="102" hidden="1" x14ac:dyDescent="0.2">
      <c r="A57" s="785">
        <v>11700</v>
      </c>
      <c r="B57" s="693" t="s">
        <v>14</v>
      </c>
      <c r="C57" s="724" t="s">
        <v>507</v>
      </c>
      <c r="D57" s="724"/>
      <c r="E57" s="724"/>
      <c r="F57" s="724" t="s">
        <v>1023</v>
      </c>
      <c r="G57" s="724"/>
      <c r="H57" s="724"/>
      <c r="I57" s="724" t="s">
        <v>1023</v>
      </c>
      <c r="J57" s="724"/>
      <c r="K57" s="724"/>
      <c r="L57" s="724" t="s">
        <v>1023</v>
      </c>
      <c r="M57" s="724"/>
      <c r="N57" s="724"/>
      <c r="O57" s="724"/>
      <c r="P57" s="724"/>
      <c r="Q57" s="693" t="s">
        <v>204</v>
      </c>
      <c r="R57" s="693" t="s">
        <v>204</v>
      </c>
      <c r="S57" s="695" t="s">
        <v>238</v>
      </c>
      <c r="T57" s="693" t="s">
        <v>94</v>
      </c>
      <c r="U57" s="693" t="s">
        <v>204</v>
      </c>
      <c r="V57" s="693" t="s">
        <v>204</v>
      </c>
      <c r="W57" s="695" t="s">
        <v>737</v>
      </c>
      <c r="X57" s="693" t="s">
        <v>670</v>
      </c>
      <c r="Y57" s="716" t="s">
        <v>391</v>
      </c>
      <c r="Z57" s="715">
        <v>2</v>
      </c>
      <c r="AA57" s="695" t="s">
        <v>715</v>
      </c>
      <c r="AB57" s="693" t="s">
        <v>676</v>
      </c>
      <c r="AC57" s="1121"/>
      <c r="AD57" s="706">
        <v>1</v>
      </c>
      <c r="AE57" s="693" t="s">
        <v>16</v>
      </c>
      <c r="AF57" s="693" t="s">
        <v>21</v>
      </c>
      <c r="AG57" s="693" t="s">
        <v>204</v>
      </c>
      <c r="AH57" s="693" t="s">
        <v>638</v>
      </c>
      <c r="AI57" s="693" t="s">
        <v>77</v>
      </c>
      <c r="AJ57" s="693" t="s">
        <v>1298</v>
      </c>
      <c r="AK57" s="693" t="s">
        <v>706</v>
      </c>
      <c r="AL57" s="693" t="s">
        <v>43</v>
      </c>
      <c r="AM57" s="715">
        <v>2</v>
      </c>
      <c r="AN57" s="693" t="str">
        <f t="shared" si="100"/>
        <v>Actualizar la matriz de requisitos legales</v>
      </c>
      <c r="AO57" s="965"/>
      <c r="AP57" s="700" t="s">
        <v>46</v>
      </c>
      <c r="AQ57" s="163">
        <v>0</v>
      </c>
      <c r="AR57" s="693" t="str">
        <f t="shared" ref="AR57:AR67" si="101">+AN57</f>
        <v>Actualizar la matriz de requisitos legales</v>
      </c>
      <c r="AS57" s="1121"/>
      <c r="AT57" s="695">
        <v>0</v>
      </c>
      <c r="AU57" s="963"/>
      <c r="AV57" s="690" t="e">
        <f t="shared" ref="AV57:AV67" si="102">+(AT57/AQ57)</f>
        <v>#DIV/0!</v>
      </c>
      <c r="AW57" s="960"/>
      <c r="AX57" s="690">
        <f t="shared" ref="AX57:AX67" si="103">+(AT57/AM57)</f>
        <v>0</v>
      </c>
      <c r="AY57" s="960"/>
      <c r="AZ57" s="524" t="s">
        <v>1343</v>
      </c>
      <c r="BA57" s="163">
        <v>1</v>
      </c>
      <c r="BB57" s="693" t="str">
        <f t="shared" ref="BB57:BB67" si="104">+AN57</f>
        <v>Actualizar la matriz de requisitos legales</v>
      </c>
      <c r="BC57" s="1110"/>
      <c r="BD57" s="716">
        <v>0</v>
      </c>
      <c r="BE57" s="963"/>
      <c r="BF57" s="690">
        <f t="shared" ref="BF57:BF67" si="105">+(BD57/BA57)</f>
        <v>0</v>
      </c>
      <c r="BG57" s="960"/>
      <c r="BH57" s="690">
        <f t="shared" ref="BH57:BH67" si="106">+(BD57+AT57)/AM57</f>
        <v>0</v>
      </c>
      <c r="BI57" s="960"/>
      <c r="BJ57" s="516" t="s">
        <v>1648</v>
      </c>
      <c r="BK57" s="163">
        <v>0</v>
      </c>
      <c r="BL57" s="693" t="str">
        <f t="shared" ref="BL57:BL67" si="107">+AN57</f>
        <v>Actualizar la matriz de requisitos legales</v>
      </c>
      <c r="BM57" s="1110"/>
      <c r="BN57" s="695"/>
      <c r="BO57" s="968"/>
      <c r="BP57" s="690" t="e">
        <f t="shared" ref="BP57:BP67" si="108">+(BN57/BK57)</f>
        <v>#DIV/0!</v>
      </c>
      <c r="BQ57" s="960"/>
      <c r="BR57" s="690">
        <f t="shared" ref="BR57:BR67" si="109">+(BD57+AT57+BN57)/AM57</f>
        <v>0</v>
      </c>
      <c r="BS57" s="960"/>
      <c r="BT57" s="690"/>
      <c r="BU57" s="163">
        <v>1</v>
      </c>
      <c r="BV57" s="693" t="str">
        <f t="shared" ref="BV57:BV67" si="110">+AN57</f>
        <v>Actualizar la matriz de requisitos legales</v>
      </c>
      <c r="BW57" s="1110"/>
      <c r="BX57" s="695"/>
      <c r="BY57" s="968"/>
      <c r="BZ57" s="698">
        <f t="shared" ref="BZ57:BZ67" si="111">+(BX57/BU57)</f>
        <v>0</v>
      </c>
      <c r="CA57" s="957"/>
      <c r="CB57" s="698">
        <f t="shared" ref="CB57:CB67" si="112">+(BD57+AT57+BN57+BX57)/AM57</f>
        <v>0</v>
      </c>
      <c r="CC57" s="957"/>
      <c r="CD57" s="698"/>
      <c r="CE57" s="697" t="str">
        <f t="shared" ref="CE57:CE67" si="113">IF(AND(AQ57=0,AT57=0),"No Prog ni Ejec",IF(AQ57=0,CONCATENATE("No Prog, Ejec=  ",AT57),AT57/AQ57))</f>
        <v>No Prog ni Ejec</v>
      </c>
      <c r="CF57" s="1018"/>
      <c r="CG57" s="697">
        <f t="shared" ref="CG57:CG67" si="114">IF(AND(BA57=0,BD57=0),"No Prog ni Ejec",IF(BA57=0,CONCATENATE("No Prog, Ejec=  ",BD57),BD57/BA57))</f>
        <v>0</v>
      </c>
      <c r="CH57" s="1018"/>
      <c r="CI57" s="697" t="str">
        <f t="shared" ref="CI57:CI67" si="115">IF(AND(BK57=0,BN57=0),"No Prog ni Ejec",IF(BK57=0,CONCATENATE("No Prog, Ejec=  ",BN57),BN57/BK57))</f>
        <v>No Prog ni Ejec</v>
      </c>
      <c r="CJ57" s="1018"/>
      <c r="CK57" s="697">
        <f t="shared" ref="CK57:CK67" si="116">IF(AND(BU57=0,BX57=0),"No Prog ni Ejec",IF(BU57=0,CONCATENATE("No Prog, Ejec=  ",BX57),BX57/BU57))</f>
        <v>0</v>
      </c>
      <c r="CL57" s="1017"/>
      <c r="CM57" s="136">
        <f t="shared" si="6"/>
        <v>0</v>
      </c>
      <c r="CY57" s="70">
        <v>8</v>
      </c>
      <c r="DB57" s="70">
        <v>11</v>
      </c>
    </row>
    <row r="58" spans="1:106" s="70" customFormat="1" ht="178.5" hidden="1" x14ac:dyDescent="0.2">
      <c r="A58" s="785">
        <v>11700</v>
      </c>
      <c r="B58" s="693" t="s">
        <v>14</v>
      </c>
      <c r="C58" s="724" t="s">
        <v>507</v>
      </c>
      <c r="D58" s="724"/>
      <c r="E58" s="724"/>
      <c r="F58" s="724" t="s">
        <v>1023</v>
      </c>
      <c r="G58" s="724"/>
      <c r="H58" s="724"/>
      <c r="I58" s="724" t="s">
        <v>1023</v>
      </c>
      <c r="J58" s="724"/>
      <c r="K58" s="724"/>
      <c r="L58" s="724" t="s">
        <v>1023</v>
      </c>
      <c r="M58" s="724"/>
      <c r="N58" s="724"/>
      <c r="O58" s="724"/>
      <c r="P58" s="724"/>
      <c r="Q58" s="693" t="s">
        <v>204</v>
      </c>
      <c r="R58" s="693" t="s">
        <v>204</v>
      </c>
      <c r="S58" s="695" t="s">
        <v>238</v>
      </c>
      <c r="T58" s="693" t="s">
        <v>94</v>
      </c>
      <c r="U58" s="693" t="s">
        <v>204</v>
      </c>
      <c r="V58" s="693" t="s">
        <v>204</v>
      </c>
      <c r="W58" s="695" t="s">
        <v>738</v>
      </c>
      <c r="X58" s="693" t="s">
        <v>671</v>
      </c>
      <c r="Y58" s="716" t="s">
        <v>391</v>
      </c>
      <c r="Z58" s="645">
        <v>1</v>
      </c>
      <c r="AA58" s="695" t="s">
        <v>716</v>
      </c>
      <c r="AB58" s="693" t="s">
        <v>677</v>
      </c>
      <c r="AC58" s="1121"/>
      <c r="AD58" s="706">
        <v>1</v>
      </c>
      <c r="AE58" s="693" t="s">
        <v>16</v>
      </c>
      <c r="AF58" s="693" t="s">
        <v>21</v>
      </c>
      <c r="AG58" s="693" t="s">
        <v>204</v>
      </c>
      <c r="AH58" s="693" t="s">
        <v>638</v>
      </c>
      <c r="AI58" s="693" t="s">
        <v>77</v>
      </c>
      <c r="AJ58" s="693" t="s">
        <v>1298</v>
      </c>
      <c r="AK58" s="693" t="s">
        <v>706</v>
      </c>
      <c r="AL58" s="693" t="s">
        <v>43</v>
      </c>
      <c r="AM58" s="645">
        <v>1</v>
      </c>
      <c r="AN58" s="693" t="str">
        <f t="shared" si="100"/>
        <v>Realizar verificación y actualización de los documentos del SG-SST según requerimientos del decreto 1072 de 2015 y Resolución 1111 de 2017.</v>
      </c>
      <c r="AO58" s="965"/>
      <c r="AP58" s="700" t="s">
        <v>46</v>
      </c>
      <c r="AQ58" s="163">
        <v>0</v>
      </c>
      <c r="AR58" s="693" t="str">
        <f t="shared" si="101"/>
        <v>Realizar verificación y actualización de los documentos del SG-SST según requerimientos del decreto 1072 de 2015 y Resolución 1111 de 2017.</v>
      </c>
      <c r="AS58" s="1121"/>
      <c r="AT58" s="491">
        <v>0</v>
      </c>
      <c r="AU58" s="1112"/>
      <c r="AV58" s="690" t="e">
        <f t="shared" si="102"/>
        <v>#DIV/0!</v>
      </c>
      <c r="AW58" s="960"/>
      <c r="AX58" s="690">
        <f t="shared" si="103"/>
        <v>0</v>
      </c>
      <c r="AY58" s="960"/>
      <c r="AZ58" s="490" t="s">
        <v>1637</v>
      </c>
      <c r="BA58" s="646">
        <v>0</v>
      </c>
      <c r="BB58" s="693" t="str">
        <f t="shared" si="104"/>
        <v>Realizar verificación y actualización de los documentos del SG-SST según requerimientos del decreto 1072 de 2015 y Resolución 1111 de 2017.</v>
      </c>
      <c r="BC58" s="1110"/>
      <c r="BD58" s="716">
        <v>0</v>
      </c>
      <c r="BE58" s="963"/>
      <c r="BF58" s="690" t="e">
        <f t="shared" si="105"/>
        <v>#DIV/0!</v>
      </c>
      <c r="BG58" s="960"/>
      <c r="BH58" s="690">
        <f t="shared" si="106"/>
        <v>0</v>
      </c>
      <c r="BI58" s="960"/>
      <c r="BJ58" s="512" t="s">
        <v>1343</v>
      </c>
      <c r="BK58" s="646">
        <v>1</v>
      </c>
      <c r="BL58" s="693" t="str">
        <f t="shared" si="107"/>
        <v>Realizar verificación y actualización de los documentos del SG-SST según requerimientos del decreto 1072 de 2015 y Resolución 1111 de 2017.</v>
      </c>
      <c r="BM58" s="1110"/>
      <c r="BN58" s="695"/>
      <c r="BO58" s="968"/>
      <c r="BP58" s="690">
        <f t="shared" si="108"/>
        <v>0</v>
      </c>
      <c r="BQ58" s="960"/>
      <c r="BR58" s="690">
        <f t="shared" si="109"/>
        <v>0</v>
      </c>
      <c r="BS58" s="960"/>
      <c r="BT58" s="690"/>
      <c r="BU58" s="646">
        <v>0</v>
      </c>
      <c r="BV58" s="693" t="str">
        <f t="shared" si="110"/>
        <v>Realizar verificación y actualización de los documentos del SG-SST según requerimientos del decreto 1072 de 2015 y Resolución 1111 de 2017.</v>
      </c>
      <c r="BW58" s="1110"/>
      <c r="BX58" s="695"/>
      <c r="BY58" s="968"/>
      <c r="BZ58" s="698" t="e">
        <f t="shared" si="111"/>
        <v>#DIV/0!</v>
      </c>
      <c r="CA58" s="957"/>
      <c r="CB58" s="698">
        <f t="shared" si="112"/>
        <v>0</v>
      </c>
      <c r="CC58" s="957"/>
      <c r="CD58" s="698"/>
      <c r="CE58" s="697" t="str">
        <f t="shared" si="113"/>
        <v>No Prog ni Ejec</v>
      </c>
      <c r="CF58" s="1018"/>
      <c r="CG58" s="697" t="str">
        <f t="shared" si="114"/>
        <v>No Prog ni Ejec</v>
      </c>
      <c r="CH58" s="1018"/>
      <c r="CI58" s="697">
        <f t="shared" si="115"/>
        <v>0</v>
      </c>
      <c r="CJ58" s="1018"/>
      <c r="CK58" s="697" t="str">
        <f t="shared" si="116"/>
        <v>No Prog ni Ejec</v>
      </c>
      <c r="CL58" s="1017"/>
      <c r="CM58" s="136">
        <f t="shared" si="6"/>
        <v>0</v>
      </c>
      <c r="CY58" s="70">
        <v>8</v>
      </c>
      <c r="DB58" s="70">
        <v>11</v>
      </c>
    </row>
    <row r="59" spans="1:106" s="70" customFormat="1" ht="102" hidden="1" x14ac:dyDescent="0.2">
      <c r="A59" s="785">
        <v>11700</v>
      </c>
      <c r="B59" s="693" t="s">
        <v>14</v>
      </c>
      <c r="C59" s="724" t="s">
        <v>507</v>
      </c>
      <c r="D59" s="724"/>
      <c r="E59" s="724"/>
      <c r="F59" s="724" t="s">
        <v>1023</v>
      </c>
      <c r="G59" s="724"/>
      <c r="H59" s="724"/>
      <c r="I59" s="724" t="s">
        <v>1023</v>
      </c>
      <c r="J59" s="724"/>
      <c r="K59" s="724"/>
      <c r="L59" s="724" t="s">
        <v>1023</v>
      </c>
      <c r="M59" s="724"/>
      <c r="N59" s="724"/>
      <c r="O59" s="724"/>
      <c r="P59" s="724"/>
      <c r="Q59" s="693" t="s">
        <v>204</v>
      </c>
      <c r="R59" s="693" t="s">
        <v>204</v>
      </c>
      <c r="S59" s="695" t="s">
        <v>238</v>
      </c>
      <c r="T59" s="693" t="s">
        <v>94</v>
      </c>
      <c r="U59" s="693" t="s">
        <v>204</v>
      </c>
      <c r="V59" s="693" t="s">
        <v>204</v>
      </c>
      <c r="W59" s="695" t="s">
        <v>739</v>
      </c>
      <c r="X59" s="693" t="s">
        <v>685</v>
      </c>
      <c r="Y59" s="716" t="s">
        <v>391</v>
      </c>
      <c r="Z59" s="645">
        <v>1</v>
      </c>
      <c r="AA59" s="695" t="s">
        <v>717</v>
      </c>
      <c r="AB59" s="693" t="s">
        <v>683</v>
      </c>
      <c r="AC59" s="1121"/>
      <c r="AD59" s="706">
        <v>1</v>
      </c>
      <c r="AE59" s="693" t="s">
        <v>16</v>
      </c>
      <c r="AF59" s="693" t="s">
        <v>21</v>
      </c>
      <c r="AG59" s="693" t="s">
        <v>204</v>
      </c>
      <c r="AH59" s="693" t="s">
        <v>638</v>
      </c>
      <c r="AI59" s="693" t="s">
        <v>77</v>
      </c>
      <c r="AJ59" s="693" t="s">
        <v>1298</v>
      </c>
      <c r="AK59" s="693" t="s">
        <v>706</v>
      </c>
      <c r="AL59" s="693" t="s">
        <v>43</v>
      </c>
      <c r="AM59" s="645">
        <v>1</v>
      </c>
      <c r="AN59" s="693" t="str">
        <f t="shared" si="100"/>
        <v>Elaborar  programa de medicina preventiva y definir las actividades de intervención de la ATEL.</v>
      </c>
      <c r="AO59" s="965"/>
      <c r="AP59" s="700" t="s">
        <v>46</v>
      </c>
      <c r="AQ59" s="163">
        <v>0</v>
      </c>
      <c r="AR59" s="693" t="str">
        <f t="shared" si="101"/>
        <v>Elaborar  programa de medicina preventiva y definir las actividades de intervención de la ATEL.</v>
      </c>
      <c r="AS59" s="1121"/>
      <c r="AT59" s="491">
        <v>0</v>
      </c>
      <c r="AU59" s="1112"/>
      <c r="AV59" s="690" t="e">
        <f t="shared" si="102"/>
        <v>#DIV/0!</v>
      </c>
      <c r="AW59" s="960"/>
      <c r="AX59" s="690">
        <f t="shared" si="103"/>
        <v>0</v>
      </c>
      <c r="AY59" s="960"/>
      <c r="AZ59" s="490" t="s">
        <v>1638</v>
      </c>
      <c r="BA59" s="646">
        <v>0</v>
      </c>
      <c r="BB59" s="693" t="str">
        <f t="shared" si="104"/>
        <v>Elaborar  programa de medicina preventiva y definir las actividades de intervención de la ATEL.</v>
      </c>
      <c r="BC59" s="1110"/>
      <c r="BD59" s="716">
        <v>0</v>
      </c>
      <c r="BE59" s="963"/>
      <c r="BF59" s="690" t="e">
        <f t="shared" si="105"/>
        <v>#DIV/0!</v>
      </c>
      <c r="BG59" s="960"/>
      <c r="BH59" s="690">
        <f t="shared" si="106"/>
        <v>0</v>
      </c>
      <c r="BI59" s="960"/>
      <c r="BJ59" s="512" t="s">
        <v>1343</v>
      </c>
      <c r="BK59" s="646">
        <v>1</v>
      </c>
      <c r="BL59" s="693" t="str">
        <f t="shared" si="107"/>
        <v>Elaborar  programa de medicina preventiva y definir las actividades de intervención de la ATEL.</v>
      </c>
      <c r="BM59" s="1110"/>
      <c r="BN59" s="695"/>
      <c r="BO59" s="968"/>
      <c r="BP59" s="690">
        <f t="shared" si="108"/>
        <v>0</v>
      </c>
      <c r="BQ59" s="960"/>
      <c r="BR59" s="690">
        <f t="shared" si="109"/>
        <v>0</v>
      </c>
      <c r="BS59" s="960"/>
      <c r="BT59" s="690"/>
      <c r="BU59" s="646">
        <v>0</v>
      </c>
      <c r="BV59" s="693" t="str">
        <f t="shared" si="110"/>
        <v>Elaborar  programa de medicina preventiva y definir las actividades de intervención de la ATEL.</v>
      </c>
      <c r="BW59" s="1110"/>
      <c r="BX59" s="695"/>
      <c r="BY59" s="968"/>
      <c r="BZ59" s="698" t="e">
        <f t="shared" si="111"/>
        <v>#DIV/0!</v>
      </c>
      <c r="CA59" s="957"/>
      <c r="CB59" s="698">
        <f t="shared" si="112"/>
        <v>0</v>
      </c>
      <c r="CC59" s="957"/>
      <c r="CD59" s="698"/>
      <c r="CE59" s="697" t="str">
        <f t="shared" si="113"/>
        <v>No Prog ni Ejec</v>
      </c>
      <c r="CF59" s="1018"/>
      <c r="CG59" s="697" t="str">
        <f t="shared" si="114"/>
        <v>No Prog ni Ejec</v>
      </c>
      <c r="CH59" s="1018"/>
      <c r="CI59" s="697">
        <f t="shared" si="115"/>
        <v>0</v>
      </c>
      <c r="CJ59" s="1018"/>
      <c r="CK59" s="697" t="str">
        <f t="shared" si="116"/>
        <v>No Prog ni Ejec</v>
      </c>
      <c r="CL59" s="1017"/>
      <c r="CM59" s="136">
        <f t="shared" si="6"/>
        <v>0</v>
      </c>
      <c r="CY59" s="70">
        <v>8</v>
      </c>
      <c r="DB59" s="70">
        <v>11</v>
      </c>
    </row>
    <row r="60" spans="1:106" s="70" customFormat="1" ht="89.25" hidden="1" x14ac:dyDescent="0.2">
      <c r="A60" s="785">
        <v>11700</v>
      </c>
      <c r="B60" s="693" t="s">
        <v>14</v>
      </c>
      <c r="C60" s="724" t="s">
        <v>507</v>
      </c>
      <c r="D60" s="724"/>
      <c r="E60" s="724"/>
      <c r="F60" s="724" t="s">
        <v>1023</v>
      </c>
      <c r="G60" s="724"/>
      <c r="H60" s="724"/>
      <c r="I60" s="724" t="s">
        <v>1023</v>
      </c>
      <c r="J60" s="724"/>
      <c r="K60" s="724"/>
      <c r="L60" s="724" t="s">
        <v>1023</v>
      </c>
      <c r="M60" s="724"/>
      <c r="N60" s="724"/>
      <c r="O60" s="724"/>
      <c r="P60" s="724"/>
      <c r="Q60" s="693" t="s">
        <v>204</v>
      </c>
      <c r="R60" s="693" t="s">
        <v>204</v>
      </c>
      <c r="S60" s="695" t="s">
        <v>238</v>
      </c>
      <c r="T60" s="693" t="s">
        <v>94</v>
      </c>
      <c r="U60" s="693" t="s">
        <v>204</v>
      </c>
      <c r="V60" s="693" t="s">
        <v>204</v>
      </c>
      <c r="W60" s="695" t="s">
        <v>740</v>
      </c>
      <c r="X60" s="693" t="s">
        <v>686</v>
      </c>
      <c r="Y60" s="716" t="s">
        <v>391</v>
      </c>
      <c r="Z60" s="645">
        <v>1</v>
      </c>
      <c r="AA60" s="695" t="s">
        <v>718</v>
      </c>
      <c r="AB60" s="693" t="s">
        <v>684</v>
      </c>
      <c r="AC60" s="1121"/>
      <c r="AD60" s="706">
        <v>1</v>
      </c>
      <c r="AE60" s="693" t="s">
        <v>16</v>
      </c>
      <c r="AF60" s="693" t="s">
        <v>21</v>
      </c>
      <c r="AG60" s="693" t="s">
        <v>204</v>
      </c>
      <c r="AH60" s="693" t="s">
        <v>638</v>
      </c>
      <c r="AI60" s="693" t="s">
        <v>77</v>
      </c>
      <c r="AJ60" s="693" t="s">
        <v>1298</v>
      </c>
      <c r="AK60" s="693" t="s">
        <v>706</v>
      </c>
      <c r="AL60" s="693" t="s">
        <v>43</v>
      </c>
      <c r="AM60" s="645">
        <v>1</v>
      </c>
      <c r="AN60" s="693" t="str">
        <f t="shared" si="100"/>
        <v xml:space="preserve">Elaborar programa de orden y aseso  y definir las actividades de intervención </v>
      </c>
      <c r="AO60" s="965"/>
      <c r="AP60" s="700" t="s">
        <v>46</v>
      </c>
      <c r="AQ60" s="163">
        <v>0</v>
      </c>
      <c r="AR60" s="693" t="str">
        <f t="shared" si="101"/>
        <v xml:space="preserve">Elaborar programa de orden y aseso  y definir las actividades de intervención </v>
      </c>
      <c r="AS60" s="1121"/>
      <c r="AT60" s="491">
        <v>0</v>
      </c>
      <c r="AU60" s="1112"/>
      <c r="AV60" s="690" t="e">
        <f t="shared" si="102"/>
        <v>#DIV/0!</v>
      </c>
      <c r="AW60" s="960"/>
      <c r="AX60" s="690">
        <f t="shared" si="103"/>
        <v>0</v>
      </c>
      <c r="AY60" s="960"/>
      <c r="AZ60" s="490" t="s">
        <v>1639</v>
      </c>
      <c r="BA60" s="163">
        <v>0</v>
      </c>
      <c r="BB60" s="693" t="str">
        <f t="shared" si="104"/>
        <v xml:space="preserve">Elaborar programa de orden y aseso  y definir las actividades de intervención </v>
      </c>
      <c r="BC60" s="1110"/>
      <c r="BD60" s="716">
        <v>0</v>
      </c>
      <c r="BE60" s="963"/>
      <c r="BF60" s="690" t="e">
        <f t="shared" si="105"/>
        <v>#DIV/0!</v>
      </c>
      <c r="BG60" s="960"/>
      <c r="BH60" s="690">
        <f t="shared" si="106"/>
        <v>0</v>
      </c>
      <c r="BI60" s="960"/>
      <c r="BJ60" s="512" t="s">
        <v>1343</v>
      </c>
      <c r="BK60" s="646">
        <v>1</v>
      </c>
      <c r="BL60" s="693" t="str">
        <f t="shared" si="107"/>
        <v xml:space="preserve">Elaborar programa de orden y aseso  y definir las actividades de intervención </v>
      </c>
      <c r="BM60" s="1110"/>
      <c r="BN60" s="695"/>
      <c r="BO60" s="968"/>
      <c r="BP60" s="690">
        <f t="shared" si="108"/>
        <v>0</v>
      </c>
      <c r="BQ60" s="960"/>
      <c r="BR60" s="690">
        <f t="shared" si="109"/>
        <v>0</v>
      </c>
      <c r="BS60" s="960"/>
      <c r="BT60" s="690"/>
      <c r="BU60" s="163">
        <v>0</v>
      </c>
      <c r="BV60" s="693" t="str">
        <f t="shared" si="110"/>
        <v xml:space="preserve">Elaborar programa de orden y aseso  y definir las actividades de intervención </v>
      </c>
      <c r="BW60" s="1110"/>
      <c r="BX60" s="695"/>
      <c r="BY60" s="968"/>
      <c r="BZ60" s="698" t="e">
        <f t="shared" si="111"/>
        <v>#DIV/0!</v>
      </c>
      <c r="CA60" s="957"/>
      <c r="CB60" s="698">
        <f t="shared" si="112"/>
        <v>0</v>
      </c>
      <c r="CC60" s="957"/>
      <c r="CD60" s="698"/>
      <c r="CE60" s="697" t="str">
        <f t="shared" si="113"/>
        <v>No Prog ni Ejec</v>
      </c>
      <c r="CF60" s="1018"/>
      <c r="CG60" s="697" t="str">
        <f t="shared" si="114"/>
        <v>No Prog ni Ejec</v>
      </c>
      <c r="CH60" s="1018"/>
      <c r="CI60" s="697">
        <f t="shared" si="115"/>
        <v>0</v>
      </c>
      <c r="CJ60" s="1018"/>
      <c r="CK60" s="697" t="str">
        <f t="shared" si="116"/>
        <v>No Prog ni Ejec</v>
      </c>
      <c r="CL60" s="1017"/>
      <c r="CM60" s="136">
        <f t="shared" si="6"/>
        <v>0</v>
      </c>
      <c r="CY60" s="70">
        <v>8</v>
      </c>
      <c r="DB60" s="70">
        <v>11</v>
      </c>
    </row>
    <row r="61" spans="1:106" s="70" customFormat="1" ht="102" hidden="1" x14ac:dyDescent="0.2">
      <c r="A61" s="785">
        <v>11700</v>
      </c>
      <c r="B61" s="693" t="s">
        <v>14</v>
      </c>
      <c r="C61" s="724" t="s">
        <v>507</v>
      </c>
      <c r="D61" s="724"/>
      <c r="E61" s="724"/>
      <c r="F61" s="724" t="s">
        <v>1023</v>
      </c>
      <c r="G61" s="724"/>
      <c r="H61" s="724"/>
      <c r="I61" s="724" t="s">
        <v>1023</v>
      </c>
      <c r="J61" s="724"/>
      <c r="K61" s="724"/>
      <c r="L61" s="724" t="s">
        <v>1023</v>
      </c>
      <c r="M61" s="724"/>
      <c r="N61" s="724"/>
      <c r="O61" s="724"/>
      <c r="P61" s="724"/>
      <c r="Q61" s="693" t="s">
        <v>204</v>
      </c>
      <c r="R61" s="693" t="s">
        <v>204</v>
      </c>
      <c r="S61" s="695" t="s">
        <v>238</v>
      </c>
      <c r="T61" s="693" t="s">
        <v>94</v>
      </c>
      <c r="U61" s="693" t="s">
        <v>204</v>
      </c>
      <c r="V61" s="693" t="s">
        <v>204</v>
      </c>
      <c r="W61" s="695" t="s">
        <v>741</v>
      </c>
      <c r="X61" s="693" t="s">
        <v>693</v>
      </c>
      <c r="Y61" s="716" t="s">
        <v>391</v>
      </c>
      <c r="Z61" s="715">
        <v>2</v>
      </c>
      <c r="AA61" s="695" t="s">
        <v>719</v>
      </c>
      <c r="AB61" s="693" t="s">
        <v>687</v>
      </c>
      <c r="AC61" s="1121"/>
      <c r="AD61" s="706">
        <v>1</v>
      </c>
      <c r="AE61" s="693" t="s">
        <v>16</v>
      </c>
      <c r="AF61" s="693" t="s">
        <v>21</v>
      </c>
      <c r="AG61" s="693" t="s">
        <v>204</v>
      </c>
      <c r="AH61" s="693" t="s">
        <v>638</v>
      </c>
      <c r="AI61" s="693" t="s">
        <v>77</v>
      </c>
      <c r="AJ61" s="693" t="s">
        <v>1298</v>
      </c>
      <c r="AK61" s="693" t="s">
        <v>706</v>
      </c>
      <c r="AL61" s="693" t="s">
        <v>43</v>
      </c>
      <c r="AM61" s="715">
        <v>2</v>
      </c>
      <c r="AN61" s="693" t="str">
        <f t="shared" si="100"/>
        <v>Elaborar el programa de vigilancia epidemiológicos  de riesgo Psicosocial y Biomecánico y definir las actividades de  intervención.</v>
      </c>
      <c r="AO61" s="965"/>
      <c r="AP61" s="700" t="s">
        <v>46</v>
      </c>
      <c r="AQ61" s="163">
        <v>0</v>
      </c>
      <c r="AR61" s="693" t="str">
        <f t="shared" si="101"/>
        <v>Elaborar el programa de vigilancia epidemiológicos  de riesgo Psicosocial y Biomecánico y definir las actividades de  intervención.</v>
      </c>
      <c r="AS61" s="1121"/>
      <c r="AT61" s="695">
        <v>0</v>
      </c>
      <c r="AU61" s="963"/>
      <c r="AV61" s="690" t="e">
        <f t="shared" si="102"/>
        <v>#DIV/0!</v>
      </c>
      <c r="AW61" s="960"/>
      <c r="AX61" s="690">
        <f t="shared" si="103"/>
        <v>0</v>
      </c>
      <c r="AY61" s="960"/>
      <c r="AZ61" s="524" t="s">
        <v>1343</v>
      </c>
      <c r="BA61" s="163">
        <v>0</v>
      </c>
      <c r="BB61" s="693" t="str">
        <f t="shared" si="104"/>
        <v>Elaborar el programa de vigilancia epidemiológicos  de riesgo Psicosocial y Biomecánico y definir las actividades de  intervención.</v>
      </c>
      <c r="BC61" s="1110"/>
      <c r="BD61" s="716">
        <v>0</v>
      </c>
      <c r="BE61" s="963"/>
      <c r="BF61" s="690" t="e">
        <f t="shared" si="105"/>
        <v>#DIV/0!</v>
      </c>
      <c r="BG61" s="960"/>
      <c r="BH61" s="690">
        <f t="shared" si="106"/>
        <v>0</v>
      </c>
      <c r="BI61" s="960"/>
      <c r="BJ61" s="516" t="s">
        <v>1648</v>
      </c>
      <c r="BK61" s="163">
        <v>1</v>
      </c>
      <c r="BL61" s="693" t="str">
        <f t="shared" si="107"/>
        <v>Elaborar el programa de vigilancia epidemiológicos  de riesgo Psicosocial y Biomecánico y definir las actividades de  intervención.</v>
      </c>
      <c r="BM61" s="1110"/>
      <c r="BN61" s="695"/>
      <c r="BO61" s="968"/>
      <c r="BP61" s="690">
        <f t="shared" si="108"/>
        <v>0</v>
      </c>
      <c r="BQ61" s="960"/>
      <c r="BR61" s="690">
        <f t="shared" si="109"/>
        <v>0</v>
      </c>
      <c r="BS61" s="960"/>
      <c r="BT61" s="690"/>
      <c r="BU61" s="163">
        <v>1</v>
      </c>
      <c r="BV61" s="693" t="str">
        <f t="shared" si="110"/>
        <v>Elaborar el programa de vigilancia epidemiológicos  de riesgo Psicosocial y Biomecánico y definir las actividades de  intervención.</v>
      </c>
      <c r="BW61" s="1110"/>
      <c r="BX61" s="695"/>
      <c r="BY61" s="968"/>
      <c r="BZ61" s="698">
        <f t="shared" si="111"/>
        <v>0</v>
      </c>
      <c r="CA61" s="957"/>
      <c r="CB61" s="698">
        <f t="shared" si="112"/>
        <v>0</v>
      </c>
      <c r="CC61" s="957"/>
      <c r="CD61" s="698"/>
      <c r="CE61" s="697" t="str">
        <f t="shared" si="113"/>
        <v>No Prog ni Ejec</v>
      </c>
      <c r="CF61" s="1018"/>
      <c r="CG61" s="697" t="str">
        <f t="shared" si="114"/>
        <v>No Prog ni Ejec</v>
      </c>
      <c r="CH61" s="1018"/>
      <c r="CI61" s="697">
        <f t="shared" si="115"/>
        <v>0</v>
      </c>
      <c r="CJ61" s="1018"/>
      <c r="CK61" s="697">
        <f t="shared" si="116"/>
        <v>0</v>
      </c>
      <c r="CL61" s="1017"/>
      <c r="CM61" s="136">
        <f t="shared" si="6"/>
        <v>0</v>
      </c>
      <c r="CY61" s="70">
        <v>8</v>
      </c>
      <c r="DB61" s="70">
        <v>11</v>
      </c>
    </row>
    <row r="62" spans="1:106" s="70" customFormat="1" ht="89.25" hidden="1" x14ac:dyDescent="0.2">
      <c r="A62" s="785">
        <v>11700</v>
      </c>
      <c r="B62" s="693" t="s">
        <v>14</v>
      </c>
      <c r="C62" s="724" t="s">
        <v>507</v>
      </c>
      <c r="D62" s="724"/>
      <c r="E62" s="724"/>
      <c r="F62" s="724" t="s">
        <v>1023</v>
      </c>
      <c r="G62" s="724"/>
      <c r="H62" s="724"/>
      <c r="I62" s="724" t="s">
        <v>1023</v>
      </c>
      <c r="J62" s="724"/>
      <c r="K62" s="724"/>
      <c r="L62" s="724" t="s">
        <v>1023</v>
      </c>
      <c r="M62" s="724"/>
      <c r="N62" s="724"/>
      <c r="O62" s="724"/>
      <c r="P62" s="724"/>
      <c r="Q62" s="693" t="s">
        <v>204</v>
      </c>
      <c r="R62" s="693" t="s">
        <v>204</v>
      </c>
      <c r="S62" s="695" t="s">
        <v>238</v>
      </c>
      <c r="T62" s="693" t="s">
        <v>94</v>
      </c>
      <c r="U62" s="693" t="s">
        <v>204</v>
      </c>
      <c r="V62" s="693" t="s">
        <v>204</v>
      </c>
      <c r="W62" s="695" t="s">
        <v>742</v>
      </c>
      <c r="X62" s="693" t="s">
        <v>694</v>
      </c>
      <c r="Y62" s="716" t="s">
        <v>391</v>
      </c>
      <c r="Z62" s="715">
        <v>1</v>
      </c>
      <c r="AA62" s="695" t="s">
        <v>720</v>
      </c>
      <c r="AB62" s="693" t="s">
        <v>688</v>
      </c>
      <c r="AC62" s="1121"/>
      <c r="AD62" s="706">
        <v>1</v>
      </c>
      <c r="AE62" s="693" t="s">
        <v>16</v>
      </c>
      <c r="AF62" s="693" t="s">
        <v>21</v>
      </c>
      <c r="AG62" s="693" t="s">
        <v>204</v>
      </c>
      <c r="AH62" s="693" t="s">
        <v>638</v>
      </c>
      <c r="AI62" s="693" t="s">
        <v>77</v>
      </c>
      <c r="AJ62" s="693" t="s">
        <v>1298</v>
      </c>
      <c r="AK62" s="693" t="s">
        <v>706</v>
      </c>
      <c r="AL62" s="693" t="s">
        <v>43</v>
      </c>
      <c r="AM62" s="715">
        <f>+Z62</f>
        <v>1</v>
      </c>
      <c r="AN62" s="693" t="str">
        <f t="shared" si="100"/>
        <v>Elaborar el programa de manejo de sustancias químicas (Sistema Globalmente armonizado)</v>
      </c>
      <c r="AO62" s="965"/>
      <c r="AP62" s="700" t="s">
        <v>46</v>
      </c>
      <c r="AQ62" s="163">
        <v>0</v>
      </c>
      <c r="AR62" s="693" t="str">
        <f t="shared" si="101"/>
        <v>Elaborar el programa de manejo de sustancias químicas (Sistema Globalmente armonizado)</v>
      </c>
      <c r="AS62" s="1121"/>
      <c r="AT62" s="695">
        <v>0</v>
      </c>
      <c r="AU62" s="963"/>
      <c r="AV62" s="690" t="e">
        <f t="shared" si="102"/>
        <v>#DIV/0!</v>
      </c>
      <c r="AW62" s="960"/>
      <c r="AX62" s="690">
        <f t="shared" si="103"/>
        <v>0</v>
      </c>
      <c r="AY62" s="960"/>
      <c r="AZ62" s="524" t="s">
        <v>1343</v>
      </c>
      <c r="BA62" s="646">
        <v>0</v>
      </c>
      <c r="BB62" s="693" t="str">
        <f t="shared" si="104"/>
        <v>Elaborar el programa de manejo de sustancias químicas (Sistema Globalmente armonizado)</v>
      </c>
      <c r="BC62" s="1110"/>
      <c r="BD62" s="716">
        <v>0</v>
      </c>
      <c r="BE62" s="963"/>
      <c r="BF62" s="690" t="e">
        <f t="shared" si="105"/>
        <v>#DIV/0!</v>
      </c>
      <c r="BG62" s="960"/>
      <c r="BH62" s="690">
        <f t="shared" si="106"/>
        <v>0</v>
      </c>
      <c r="BI62" s="960"/>
      <c r="BJ62" s="516" t="s">
        <v>1649</v>
      </c>
      <c r="BK62" s="646">
        <v>1</v>
      </c>
      <c r="BL62" s="693" t="str">
        <f t="shared" si="107"/>
        <v>Elaborar el programa de manejo de sustancias químicas (Sistema Globalmente armonizado)</v>
      </c>
      <c r="BM62" s="1110"/>
      <c r="BN62" s="695"/>
      <c r="BO62" s="968"/>
      <c r="BP62" s="690">
        <f t="shared" si="108"/>
        <v>0</v>
      </c>
      <c r="BQ62" s="960"/>
      <c r="BR62" s="690">
        <f t="shared" si="109"/>
        <v>0</v>
      </c>
      <c r="BS62" s="960"/>
      <c r="BT62" s="690"/>
      <c r="BU62" s="163">
        <v>0</v>
      </c>
      <c r="BV62" s="693" t="str">
        <f t="shared" si="110"/>
        <v>Elaborar el programa de manejo de sustancias químicas (Sistema Globalmente armonizado)</v>
      </c>
      <c r="BW62" s="1110"/>
      <c r="BX62" s="695"/>
      <c r="BY62" s="968"/>
      <c r="BZ62" s="698" t="e">
        <f t="shared" si="111"/>
        <v>#DIV/0!</v>
      </c>
      <c r="CA62" s="957"/>
      <c r="CB62" s="698">
        <f t="shared" si="112"/>
        <v>0</v>
      </c>
      <c r="CC62" s="957"/>
      <c r="CD62" s="698"/>
      <c r="CE62" s="697" t="str">
        <f t="shared" si="113"/>
        <v>No Prog ni Ejec</v>
      </c>
      <c r="CF62" s="1018"/>
      <c r="CG62" s="697" t="str">
        <f t="shared" si="114"/>
        <v>No Prog ni Ejec</v>
      </c>
      <c r="CH62" s="1018"/>
      <c r="CI62" s="697">
        <f t="shared" si="115"/>
        <v>0</v>
      </c>
      <c r="CJ62" s="1018"/>
      <c r="CK62" s="697" t="str">
        <f t="shared" si="116"/>
        <v>No Prog ni Ejec</v>
      </c>
      <c r="CL62" s="1017"/>
      <c r="CM62" s="136">
        <f t="shared" si="6"/>
        <v>0</v>
      </c>
      <c r="CY62" s="70">
        <v>8</v>
      </c>
      <c r="DB62" s="70">
        <v>11</v>
      </c>
    </row>
    <row r="63" spans="1:106" s="70" customFormat="1" ht="242.25" hidden="1" x14ac:dyDescent="0.2">
      <c r="A63" s="785">
        <v>11700</v>
      </c>
      <c r="B63" s="693" t="s">
        <v>14</v>
      </c>
      <c r="C63" s="724" t="s">
        <v>675</v>
      </c>
      <c r="D63" s="724"/>
      <c r="E63" s="724"/>
      <c r="F63" s="724" t="s">
        <v>1023</v>
      </c>
      <c r="G63" s="724" t="s">
        <v>1023</v>
      </c>
      <c r="H63" s="724"/>
      <c r="I63" s="724" t="s">
        <v>1023</v>
      </c>
      <c r="J63" s="724"/>
      <c r="K63" s="724"/>
      <c r="L63" s="724" t="s">
        <v>1023</v>
      </c>
      <c r="M63" s="724"/>
      <c r="N63" s="724"/>
      <c r="O63" s="724"/>
      <c r="P63" s="724"/>
      <c r="Q63" s="693" t="s">
        <v>204</v>
      </c>
      <c r="R63" s="693" t="s">
        <v>204</v>
      </c>
      <c r="S63" s="695" t="s">
        <v>238</v>
      </c>
      <c r="T63" s="693" t="s">
        <v>94</v>
      </c>
      <c r="U63" s="693" t="s">
        <v>204</v>
      </c>
      <c r="V63" s="693" t="s">
        <v>204</v>
      </c>
      <c r="W63" s="695" t="s">
        <v>743</v>
      </c>
      <c r="X63" s="693" t="s">
        <v>699</v>
      </c>
      <c r="Y63" s="716" t="s">
        <v>391</v>
      </c>
      <c r="Z63" s="938">
        <v>1</v>
      </c>
      <c r="AA63" s="695" t="s">
        <v>721</v>
      </c>
      <c r="AB63" s="693" t="s">
        <v>689</v>
      </c>
      <c r="AC63" s="1121"/>
      <c r="AD63" s="706">
        <v>1</v>
      </c>
      <c r="AE63" s="693" t="s">
        <v>16</v>
      </c>
      <c r="AF63" s="693" t="s">
        <v>21</v>
      </c>
      <c r="AG63" s="693" t="s">
        <v>204</v>
      </c>
      <c r="AH63" s="693" t="s">
        <v>638</v>
      </c>
      <c r="AI63" s="693" t="s">
        <v>77</v>
      </c>
      <c r="AJ63" s="693" t="s">
        <v>1299</v>
      </c>
      <c r="AK63" s="693" t="s">
        <v>706</v>
      </c>
      <c r="AL63" s="693" t="s">
        <v>43</v>
      </c>
      <c r="AM63" s="938">
        <v>1</v>
      </c>
      <c r="AN63" s="693" t="str">
        <f t="shared" si="100"/>
        <v>Socializar y divulgar los roles y responsabilidades a todos los servidores públicos y partes interesadas</v>
      </c>
      <c r="AO63" s="965"/>
      <c r="AP63" s="700" t="s">
        <v>46</v>
      </c>
      <c r="AQ63" s="163">
        <v>1</v>
      </c>
      <c r="AR63" s="693" t="str">
        <f t="shared" si="101"/>
        <v>Socializar y divulgar los roles y responsabilidades a todos los servidores públicos y partes interesadas</v>
      </c>
      <c r="AS63" s="1121"/>
      <c r="AT63" s="491">
        <v>1</v>
      </c>
      <c r="AU63" s="1112"/>
      <c r="AV63" s="690">
        <f t="shared" si="102"/>
        <v>1</v>
      </c>
      <c r="AW63" s="960"/>
      <c r="AX63" s="690">
        <f t="shared" si="103"/>
        <v>1</v>
      </c>
      <c r="AY63" s="960"/>
      <c r="AZ63" s="525" t="s">
        <v>1640</v>
      </c>
      <c r="BA63" s="646">
        <v>0</v>
      </c>
      <c r="BB63" s="693" t="str">
        <f t="shared" si="104"/>
        <v>Socializar y divulgar los roles y responsabilidades a todos los servidores públicos y partes interesadas</v>
      </c>
      <c r="BC63" s="1110"/>
      <c r="BD63" s="716">
        <v>0</v>
      </c>
      <c r="BE63" s="963"/>
      <c r="BF63" s="690" t="e">
        <f t="shared" si="105"/>
        <v>#DIV/0!</v>
      </c>
      <c r="BG63" s="960"/>
      <c r="BH63" s="690">
        <f t="shared" si="106"/>
        <v>1</v>
      </c>
      <c r="BI63" s="960"/>
      <c r="BJ63" s="516" t="s">
        <v>1650</v>
      </c>
      <c r="BK63" s="937">
        <v>0</v>
      </c>
      <c r="BL63" s="693" t="str">
        <f t="shared" si="107"/>
        <v>Socializar y divulgar los roles y responsabilidades a todos los servidores públicos y partes interesadas</v>
      </c>
      <c r="BM63" s="1110"/>
      <c r="BN63" s="695"/>
      <c r="BO63" s="968"/>
      <c r="BP63" s="690" t="e">
        <f t="shared" si="108"/>
        <v>#DIV/0!</v>
      </c>
      <c r="BQ63" s="960"/>
      <c r="BR63" s="690">
        <f t="shared" si="109"/>
        <v>1</v>
      </c>
      <c r="BS63" s="960"/>
      <c r="BT63" s="690"/>
      <c r="BU63" s="646">
        <v>0</v>
      </c>
      <c r="BV63" s="693" t="str">
        <f t="shared" si="110"/>
        <v>Socializar y divulgar los roles y responsabilidades a todos los servidores públicos y partes interesadas</v>
      </c>
      <c r="BW63" s="1110"/>
      <c r="BX63" s="695"/>
      <c r="BY63" s="968"/>
      <c r="BZ63" s="698" t="e">
        <f t="shared" si="111"/>
        <v>#DIV/0!</v>
      </c>
      <c r="CA63" s="957"/>
      <c r="CB63" s="698">
        <f t="shared" si="112"/>
        <v>1</v>
      </c>
      <c r="CC63" s="957"/>
      <c r="CD63" s="698"/>
      <c r="CE63" s="697">
        <f t="shared" si="113"/>
        <v>1</v>
      </c>
      <c r="CF63" s="1018"/>
      <c r="CG63" s="697" t="str">
        <f t="shared" si="114"/>
        <v>No Prog ni Ejec</v>
      </c>
      <c r="CH63" s="1018"/>
      <c r="CI63" s="697" t="str">
        <f t="shared" si="115"/>
        <v>No Prog ni Ejec</v>
      </c>
      <c r="CJ63" s="1018"/>
      <c r="CK63" s="697" t="str">
        <f t="shared" si="116"/>
        <v>No Prog ni Ejec</v>
      </c>
      <c r="CL63" s="1017"/>
      <c r="CM63" s="136">
        <f t="shared" si="6"/>
        <v>0</v>
      </c>
      <c r="CU63" s="70">
        <v>4</v>
      </c>
    </row>
    <row r="64" spans="1:106" s="70" customFormat="1" ht="99" hidden="1" customHeight="1" x14ac:dyDescent="0.2">
      <c r="A64" s="785">
        <v>11700</v>
      </c>
      <c r="B64" s="693" t="s">
        <v>14</v>
      </c>
      <c r="C64" s="724" t="s">
        <v>507</v>
      </c>
      <c r="D64" s="724"/>
      <c r="E64" s="724"/>
      <c r="F64" s="724" t="s">
        <v>1023</v>
      </c>
      <c r="G64" s="724"/>
      <c r="H64" s="724"/>
      <c r="I64" s="724" t="s">
        <v>1023</v>
      </c>
      <c r="J64" s="724"/>
      <c r="K64" s="724"/>
      <c r="L64" s="724" t="s">
        <v>1023</v>
      </c>
      <c r="M64" s="724"/>
      <c r="N64" s="724"/>
      <c r="O64" s="724"/>
      <c r="P64" s="724"/>
      <c r="Q64" s="693" t="s">
        <v>204</v>
      </c>
      <c r="R64" s="693" t="s">
        <v>204</v>
      </c>
      <c r="S64" s="695" t="s">
        <v>238</v>
      </c>
      <c r="T64" s="693" t="s">
        <v>94</v>
      </c>
      <c r="U64" s="693" t="s">
        <v>204</v>
      </c>
      <c r="V64" s="693" t="s">
        <v>204</v>
      </c>
      <c r="W64" s="695" t="s">
        <v>744</v>
      </c>
      <c r="X64" s="693" t="s">
        <v>696</v>
      </c>
      <c r="Y64" s="716" t="s">
        <v>391</v>
      </c>
      <c r="Z64" s="715">
        <v>1</v>
      </c>
      <c r="AA64" s="695" t="s">
        <v>722</v>
      </c>
      <c r="AB64" s="693" t="s">
        <v>695</v>
      </c>
      <c r="AC64" s="1121"/>
      <c r="AD64" s="706">
        <v>1</v>
      </c>
      <c r="AE64" s="693" t="s">
        <v>16</v>
      </c>
      <c r="AF64" s="693" t="s">
        <v>21</v>
      </c>
      <c r="AG64" s="693" t="s">
        <v>204</v>
      </c>
      <c r="AH64" s="693" t="s">
        <v>638</v>
      </c>
      <c r="AI64" s="693" t="s">
        <v>77</v>
      </c>
      <c r="AJ64" s="693" t="s">
        <v>1299</v>
      </c>
      <c r="AK64" s="693" t="s">
        <v>706</v>
      </c>
      <c r="AL64" s="693" t="s">
        <v>43</v>
      </c>
      <c r="AM64" s="715">
        <v>1</v>
      </c>
      <c r="AN64" s="693" t="str">
        <f t="shared" si="100"/>
        <v xml:space="preserve">Realizar Rendición de Cuentas  del Sistema de Seguridad y Salud en el Trabajo a todos los niveles de la Entidad </v>
      </c>
      <c r="AO64" s="965"/>
      <c r="AP64" s="700" t="s">
        <v>46</v>
      </c>
      <c r="AQ64" s="163">
        <v>0</v>
      </c>
      <c r="AR64" s="693" t="str">
        <f t="shared" si="101"/>
        <v xml:space="preserve">Realizar Rendición de Cuentas  del Sistema de Seguridad y Salud en el Trabajo a todos los niveles de la Entidad </v>
      </c>
      <c r="AS64" s="1121"/>
      <c r="AT64" s="695">
        <v>0</v>
      </c>
      <c r="AU64" s="963"/>
      <c r="AV64" s="690" t="e">
        <f t="shared" si="102"/>
        <v>#DIV/0!</v>
      </c>
      <c r="AW64" s="960"/>
      <c r="AX64" s="690">
        <f t="shared" si="103"/>
        <v>0</v>
      </c>
      <c r="AY64" s="960"/>
      <c r="AZ64" s="524" t="s">
        <v>1343</v>
      </c>
      <c r="BA64" s="163">
        <v>0</v>
      </c>
      <c r="BB64" s="693" t="str">
        <f t="shared" si="104"/>
        <v xml:space="preserve">Realizar Rendición de Cuentas  del Sistema de Seguridad y Salud en el Trabajo a todos los niveles de la Entidad </v>
      </c>
      <c r="BC64" s="1110"/>
      <c r="BD64" s="716">
        <v>0</v>
      </c>
      <c r="BE64" s="963"/>
      <c r="BF64" s="690" t="e">
        <f t="shared" si="105"/>
        <v>#DIV/0!</v>
      </c>
      <c r="BG64" s="960"/>
      <c r="BH64" s="690">
        <f t="shared" si="106"/>
        <v>0</v>
      </c>
      <c r="BI64" s="960"/>
      <c r="BJ64" s="512" t="s">
        <v>1343</v>
      </c>
      <c r="BK64" s="163">
        <v>0</v>
      </c>
      <c r="BL64" s="693" t="str">
        <f t="shared" si="107"/>
        <v xml:space="preserve">Realizar Rendición de Cuentas  del Sistema de Seguridad y Salud en el Trabajo a todos los niveles de la Entidad </v>
      </c>
      <c r="BM64" s="1110"/>
      <c r="BN64" s="695"/>
      <c r="BO64" s="968"/>
      <c r="BP64" s="690" t="e">
        <f t="shared" si="108"/>
        <v>#DIV/0!</v>
      </c>
      <c r="BQ64" s="960"/>
      <c r="BR64" s="690">
        <f t="shared" si="109"/>
        <v>0</v>
      </c>
      <c r="BS64" s="960"/>
      <c r="BT64" s="690"/>
      <c r="BU64" s="163">
        <v>1</v>
      </c>
      <c r="BV64" s="693" t="str">
        <f t="shared" si="110"/>
        <v xml:space="preserve">Realizar Rendición de Cuentas  del Sistema de Seguridad y Salud en el Trabajo a todos los niveles de la Entidad </v>
      </c>
      <c r="BW64" s="1110"/>
      <c r="BX64" s="695"/>
      <c r="BY64" s="968"/>
      <c r="BZ64" s="698">
        <f t="shared" si="111"/>
        <v>0</v>
      </c>
      <c r="CA64" s="957"/>
      <c r="CB64" s="698">
        <f t="shared" si="112"/>
        <v>0</v>
      </c>
      <c r="CC64" s="957"/>
      <c r="CD64" s="698"/>
      <c r="CE64" s="697" t="str">
        <f t="shared" si="113"/>
        <v>No Prog ni Ejec</v>
      </c>
      <c r="CF64" s="1018"/>
      <c r="CG64" s="697" t="str">
        <f t="shared" si="114"/>
        <v>No Prog ni Ejec</v>
      </c>
      <c r="CH64" s="1018"/>
      <c r="CI64" s="697" t="str">
        <f t="shared" si="115"/>
        <v>No Prog ni Ejec</v>
      </c>
      <c r="CJ64" s="1018"/>
      <c r="CK64" s="697">
        <f t="shared" si="116"/>
        <v>0</v>
      </c>
      <c r="CL64" s="1017"/>
      <c r="CM64" s="136">
        <f t="shared" si="6"/>
        <v>0</v>
      </c>
      <c r="CY64" s="70">
        <v>8</v>
      </c>
      <c r="DB64" s="70">
        <v>11</v>
      </c>
    </row>
    <row r="65" spans="1:107" s="614" customFormat="1" ht="103.5" hidden="1" customHeight="1" x14ac:dyDescent="0.2">
      <c r="A65" s="828">
        <v>11700</v>
      </c>
      <c r="B65" s="689" t="s">
        <v>14</v>
      </c>
      <c r="C65" s="605" t="s">
        <v>675</v>
      </c>
      <c r="D65" s="724"/>
      <c r="E65" s="724"/>
      <c r="F65" s="724" t="s">
        <v>1023</v>
      </c>
      <c r="G65" s="724" t="s">
        <v>1023</v>
      </c>
      <c r="H65" s="724"/>
      <c r="I65" s="724" t="s">
        <v>1023</v>
      </c>
      <c r="J65" s="724"/>
      <c r="K65" s="724"/>
      <c r="L65" s="724" t="s">
        <v>1023</v>
      </c>
      <c r="M65" s="724"/>
      <c r="N65" s="724"/>
      <c r="O65" s="724"/>
      <c r="P65" s="724"/>
      <c r="Q65" s="693" t="s">
        <v>204</v>
      </c>
      <c r="R65" s="693" t="s">
        <v>204</v>
      </c>
      <c r="S65" s="695" t="s">
        <v>238</v>
      </c>
      <c r="T65" s="693" t="s">
        <v>94</v>
      </c>
      <c r="U65" s="693" t="s">
        <v>204</v>
      </c>
      <c r="V65" s="693" t="s">
        <v>204</v>
      </c>
      <c r="W65" s="694" t="s">
        <v>745</v>
      </c>
      <c r="X65" s="689" t="s">
        <v>697</v>
      </c>
      <c r="Y65" s="608" t="s">
        <v>391</v>
      </c>
      <c r="Z65" s="640">
        <v>3</v>
      </c>
      <c r="AA65" s="694" t="s">
        <v>723</v>
      </c>
      <c r="AB65" s="689" t="s">
        <v>690</v>
      </c>
      <c r="AC65" s="1122"/>
      <c r="AD65" s="706">
        <v>1</v>
      </c>
      <c r="AE65" s="693" t="s">
        <v>16</v>
      </c>
      <c r="AF65" s="693" t="s">
        <v>21</v>
      </c>
      <c r="AG65" s="693" t="s">
        <v>204</v>
      </c>
      <c r="AH65" s="693" t="s">
        <v>638</v>
      </c>
      <c r="AI65" s="693" t="s">
        <v>77</v>
      </c>
      <c r="AJ65" s="693" t="s">
        <v>1299</v>
      </c>
      <c r="AK65" s="689" t="s">
        <v>706</v>
      </c>
      <c r="AL65" s="693" t="s">
        <v>43</v>
      </c>
      <c r="AM65" s="640">
        <v>3</v>
      </c>
      <c r="AN65" s="689" t="str">
        <f t="shared" si="100"/>
        <v>Divulgar el Plan de Emergencias</v>
      </c>
      <c r="AO65" s="1099"/>
      <c r="AP65" s="700" t="s">
        <v>46</v>
      </c>
      <c r="AQ65" s="641">
        <v>1</v>
      </c>
      <c r="AR65" s="689" t="str">
        <f t="shared" si="101"/>
        <v>Divulgar el Plan de Emergencias</v>
      </c>
      <c r="AS65" s="1122"/>
      <c r="AT65" s="694">
        <v>0</v>
      </c>
      <c r="AU65" s="1095"/>
      <c r="AV65" s="692">
        <f t="shared" si="102"/>
        <v>0</v>
      </c>
      <c r="AW65" s="1090"/>
      <c r="AX65" s="692">
        <f t="shared" si="103"/>
        <v>0</v>
      </c>
      <c r="AY65" s="1090"/>
      <c r="AZ65" s="642"/>
      <c r="BA65" s="641">
        <v>1</v>
      </c>
      <c r="BB65" s="689" t="str">
        <f t="shared" si="104"/>
        <v>Divulgar el Plan de Emergencias</v>
      </c>
      <c r="BC65" s="1111"/>
      <c r="BD65" s="608">
        <v>0</v>
      </c>
      <c r="BE65" s="1095"/>
      <c r="BF65" s="692">
        <f t="shared" si="105"/>
        <v>0</v>
      </c>
      <c r="BG65" s="1090"/>
      <c r="BH65" s="692">
        <f t="shared" si="106"/>
        <v>0</v>
      </c>
      <c r="BI65" s="1090"/>
      <c r="BJ65" s="860" t="s">
        <v>1651</v>
      </c>
      <c r="BK65" s="641">
        <v>0</v>
      </c>
      <c r="BL65" s="689" t="str">
        <f t="shared" si="107"/>
        <v>Divulgar el Plan de Emergencias</v>
      </c>
      <c r="BM65" s="1111"/>
      <c r="BN65" s="694"/>
      <c r="BO65" s="1093"/>
      <c r="BP65" s="692" t="e">
        <f t="shared" si="108"/>
        <v>#DIV/0!</v>
      </c>
      <c r="BQ65" s="1090"/>
      <c r="BR65" s="692">
        <f t="shared" si="109"/>
        <v>0</v>
      </c>
      <c r="BS65" s="1090"/>
      <c r="BT65" s="692"/>
      <c r="BU65" s="641">
        <v>1</v>
      </c>
      <c r="BV65" s="689" t="str">
        <f t="shared" si="110"/>
        <v>Divulgar el Plan de Emergencias</v>
      </c>
      <c r="BW65" s="1111"/>
      <c r="BX65" s="694"/>
      <c r="BY65" s="1093"/>
      <c r="BZ65" s="707">
        <f t="shared" si="111"/>
        <v>0</v>
      </c>
      <c r="CA65" s="1109"/>
      <c r="CB65" s="707">
        <f t="shared" si="112"/>
        <v>0</v>
      </c>
      <c r="CC65" s="1109"/>
      <c r="CD65" s="707"/>
      <c r="CE65" s="699">
        <f t="shared" si="113"/>
        <v>0</v>
      </c>
      <c r="CF65" s="1096"/>
      <c r="CG65" s="699">
        <f t="shared" si="114"/>
        <v>0</v>
      </c>
      <c r="CH65" s="1096"/>
      <c r="CI65" s="699" t="str">
        <f t="shared" si="115"/>
        <v>No Prog ni Ejec</v>
      </c>
      <c r="CJ65" s="1096"/>
      <c r="CK65" s="699">
        <f t="shared" si="116"/>
        <v>0</v>
      </c>
      <c r="CL65" s="1108"/>
      <c r="CM65" s="613">
        <f t="shared" si="6"/>
        <v>0</v>
      </c>
      <c r="CR65" s="70"/>
      <c r="CS65" s="70"/>
      <c r="CT65" s="70"/>
      <c r="CU65" s="70">
        <v>4</v>
      </c>
      <c r="CV65" s="70"/>
      <c r="CW65" s="70"/>
      <c r="CX65" s="70"/>
      <c r="CY65" s="70"/>
      <c r="CZ65" s="70"/>
      <c r="DA65" s="70"/>
      <c r="DB65" s="70"/>
      <c r="DC65" s="70"/>
    </row>
    <row r="66" spans="1:107" s="614" customFormat="1" ht="96" hidden="1" customHeight="1" x14ac:dyDescent="0.2">
      <c r="A66" s="828">
        <v>11700</v>
      </c>
      <c r="B66" s="689" t="s">
        <v>14</v>
      </c>
      <c r="C66" s="605" t="s">
        <v>675</v>
      </c>
      <c r="D66" s="724"/>
      <c r="E66" s="724"/>
      <c r="F66" s="724" t="s">
        <v>1023</v>
      </c>
      <c r="G66" s="724" t="s">
        <v>1023</v>
      </c>
      <c r="H66" s="724"/>
      <c r="I66" s="724" t="s">
        <v>1023</v>
      </c>
      <c r="J66" s="724"/>
      <c r="K66" s="724"/>
      <c r="L66" s="724" t="s">
        <v>1023</v>
      </c>
      <c r="M66" s="724"/>
      <c r="N66" s="724"/>
      <c r="O66" s="724"/>
      <c r="P66" s="724"/>
      <c r="Q66" s="693" t="s">
        <v>204</v>
      </c>
      <c r="R66" s="693" t="s">
        <v>204</v>
      </c>
      <c r="S66" s="695" t="s">
        <v>238</v>
      </c>
      <c r="T66" s="693" t="s">
        <v>94</v>
      </c>
      <c r="U66" s="693" t="s">
        <v>204</v>
      </c>
      <c r="V66" s="693" t="s">
        <v>204</v>
      </c>
      <c r="W66" s="694" t="s">
        <v>746</v>
      </c>
      <c r="X66" s="689" t="s">
        <v>700</v>
      </c>
      <c r="Y66" s="608" t="s">
        <v>391</v>
      </c>
      <c r="Z66" s="640">
        <v>1</v>
      </c>
      <c r="AA66" s="694" t="s">
        <v>724</v>
      </c>
      <c r="AB66" s="689" t="s">
        <v>692</v>
      </c>
      <c r="AC66" s="1122"/>
      <c r="AD66" s="706">
        <v>1</v>
      </c>
      <c r="AE66" s="693" t="s">
        <v>16</v>
      </c>
      <c r="AF66" s="693" t="s">
        <v>21</v>
      </c>
      <c r="AG66" s="693" t="s">
        <v>204</v>
      </c>
      <c r="AH66" s="693" t="s">
        <v>638</v>
      </c>
      <c r="AI66" s="693" t="s">
        <v>77</v>
      </c>
      <c r="AJ66" s="693" t="s">
        <v>1299</v>
      </c>
      <c r="AK66" s="689" t="s">
        <v>706</v>
      </c>
      <c r="AL66" s="693" t="s">
        <v>43</v>
      </c>
      <c r="AM66" s="640">
        <v>1</v>
      </c>
      <c r="AN66" s="689" t="str">
        <f t="shared" si="100"/>
        <v>Divulgar el programa de inspecciones</v>
      </c>
      <c r="AO66" s="1099"/>
      <c r="AP66" s="700" t="s">
        <v>46</v>
      </c>
      <c r="AQ66" s="641">
        <v>0</v>
      </c>
      <c r="AR66" s="689" t="str">
        <f t="shared" si="101"/>
        <v>Divulgar el programa de inspecciones</v>
      </c>
      <c r="AS66" s="1122"/>
      <c r="AT66" s="694">
        <v>0</v>
      </c>
      <c r="AU66" s="1095"/>
      <c r="AV66" s="692" t="e">
        <f t="shared" si="102"/>
        <v>#DIV/0!</v>
      </c>
      <c r="AW66" s="1090"/>
      <c r="AX66" s="692">
        <f t="shared" si="103"/>
        <v>0</v>
      </c>
      <c r="AY66" s="1090"/>
      <c r="AZ66" s="642" t="s">
        <v>1343</v>
      </c>
      <c r="BA66" s="641">
        <v>1</v>
      </c>
      <c r="BB66" s="689" t="str">
        <f t="shared" si="104"/>
        <v>Divulgar el programa de inspecciones</v>
      </c>
      <c r="BC66" s="1111"/>
      <c r="BD66" s="608">
        <v>0</v>
      </c>
      <c r="BE66" s="1095"/>
      <c r="BF66" s="692">
        <f t="shared" si="105"/>
        <v>0</v>
      </c>
      <c r="BG66" s="1090"/>
      <c r="BH66" s="692">
        <f t="shared" si="106"/>
        <v>0</v>
      </c>
      <c r="BI66" s="1090"/>
      <c r="BJ66" s="860" t="s">
        <v>1652</v>
      </c>
      <c r="BK66" s="641">
        <v>0</v>
      </c>
      <c r="BL66" s="689" t="str">
        <f t="shared" si="107"/>
        <v>Divulgar el programa de inspecciones</v>
      </c>
      <c r="BM66" s="1111"/>
      <c r="BN66" s="694"/>
      <c r="BO66" s="1093"/>
      <c r="BP66" s="692" t="e">
        <f t="shared" si="108"/>
        <v>#DIV/0!</v>
      </c>
      <c r="BQ66" s="1090"/>
      <c r="BR66" s="692">
        <f t="shared" si="109"/>
        <v>0</v>
      </c>
      <c r="BS66" s="1090"/>
      <c r="BT66" s="692"/>
      <c r="BU66" s="641">
        <v>0</v>
      </c>
      <c r="BV66" s="689" t="str">
        <f t="shared" si="110"/>
        <v>Divulgar el programa de inspecciones</v>
      </c>
      <c r="BW66" s="1111"/>
      <c r="BX66" s="694"/>
      <c r="BY66" s="1093"/>
      <c r="BZ66" s="707" t="e">
        <f t="shared" si="111"/>
        <v>#DIV/0!</v>
      </c>
      <c r="CA66" s="1109"/>
      <c r="CB66" s="707">
        <f t="shared" si="112"/>
        <v>0</v>
      </c>
      <c r="CC66" s="1109"/>
      <c r="CD66" s="707"/>
      <c r="CE66" s="699" t="str">
        <f t="shared" si="113"/>
        <v>No Prog ni Ejec</v>
      </c>
      <c r="CF66" s="1096"/>
      <c r="CG66" s="699">
        <f t="shared" si="114"/>
        <v>0</v>
      </c>
      <c r="CH66" s="1096"/>
      <c r="CI66" s="699" t="str">
        <f t="shared" si="115"/>
        <v>No Prog ni Ejec</v>
      </c>
      <c r="CJ66" s="1096"/>
      <c r="CK66" s="699" t="str">
        <f t="shared" si="116"/>
        <v>No Prog ni Ejec</v>
      </c>
      <c r="CL66" s="1108"/>
      <c r="CM66" s="613">
        <f t="shared" si="6"/>
        <v>0</v>
      </c>
      <c r="CR66" s="70"/>
      <c r="CS66" s="70"/>
      <c r="CT66" s="70"/>
      <c r="CU66" s="70">
        <v>4</v>
      </c>
      <c r="CV66" s="70"/>
      <c r="CW66" s="70"/>
      <c r="CX66" s="70"/>
      <c r="CY66" s="70"/>
      <c r="CZ66" s="70"/>
      <c r="DA66" s="70"/>
      <c r="DB66" s="70"/>
      <c r="DC66" s="70"/>
    </row>
    <row r="67" spans="1:107" s="614" customFormat="1" ht="89.25" hidden="1" x14ac:dyDescent="0.2">
      <c r="A67" s="828">
        <v>11700</v>
      </c>
      <c r="B67" s="689" t="s">
        <v>14</v>
      </c>
      <c r="C67" s="605" t="s">
        <v>507</v>
      </c>
      <c r="D67" s="724"/>
      <c r="E67" s="724"/>
      <c r="F67" s="724" t="s">
        <v>1023</v>
      </c>
      <c r="G67" s="724"/>
      <c r="H67" s="724"/>
      <c r="I67" s="724" t="s">
        <v>1023</v>
      </c>
      <c r="J67" s="724"/>
      <c r="K67" s="724"/>
      <c r="L67" s="724" t="s">
        <v>1023</v>
      </c>
      <c r="M67" s="724"/>
      <c r="N67" s="724"/>
      <c r="O67" s="724"/>
      <c r="P67" s="724"/>
      <c r="Q67" s="693" t="s">
        <v>204</v>
      </c>
      <c r="R67" s="693" t="s">
        <v>204</v>
      </c>
      <c r="S67" s="695" t="s">
        <v>238</v>
      </c>
      <c r="T67" s="693" t="s">
        <v>94</v>
      </c>
      <c r="U67" s="693" t="s">
        <v>204</v>
      </c>
      <c r="V67" s="693" t="s">
        <v>204</v>
      </c>
      <c r="W67" s="694" t="s">
        <v>747</v>
      </c>
      <c r="X67" s="689" t="s">
        <v>701</v>
      </c>
      <c r="Y67" s="608" t="s">
        <v>391</v>
      </c>
      <c r="Z67" s="640">
        <v>2</v>
      </c>
      <c r="AA67" s="694" t="s">
        <v>725</v>
      </c>
      <c r="AB67" s="689" t="s">
        <v>691</v>
      </c>
      <c r="AC67" s="1122"/>
      <c r="AD67" s="706">
        <v>1</v>
      </c>
      <c r="AE67" s="693" t="s">
        <v>16</v>
      </c>
      <c r="AF67" s="693" t="s">
        <v>21</v>
      </c>
      <c r="AG67" s="693" t="s">
        <v>204</v>
      </c>
      <c r="AH67" s="693" t="s">
        <v>638</v>
      </c>
      <c r="AI67" s="693" t="s">
        <v>77</v>
      </c>
      <c r="AJ67" s="693" t="s">
        <v>1299</v>
      </c>
      <c r="AK67" s="689" t="s">
        <v>706</v>
      </c>
      <c r="AL67" s="693" t="s">
        <v>43</v>
      </c>
      <c r="AM67" s="640">
        <v>2</v>
      </c>
      <c r="AN67" s="689" t="str">
        <f t="shared" si="100"/>
        <v>Divulgar el programa de mantenimiento</v>
      </c>
      <c r="AO67" s="1099"/>
      <c r="AP67" s="700" t="s">
        <v>46</v>
      </c>
      <c r="AQ67" s="641">
        <v>0</v>
      </c>
      <c r="AR67" s="689" t="str">
        <f t="shared" si="101"/>
        <v>Divulgar el programa de mantenimiento</v>
      </c>
      <c r="AS67" s="1122"/>
      <c r="AT67" s="694">
        <v>0</v>
      </c>
      <c r="AU67" s="1095"/>
      <c r="AV67" s="692" t="e">
        <f t="shared" si="102"/>
        <v>#DIV/0!</v>
      </c>
      <c r="AW67" s="1090"/>
      <c r="AX67" s="692">
        <f t="shared" si="103"/>
        <v>0</v>
      </c>
      <c r="AY67" s="1090"/>
      <c r="AZ67" s="642" t="s">
        <v>1343</v>
      </c>
      <c r="BA67" s="641">
        <v>1</v>
      </c>
      <c r="BB67" s="689" t="str">
        <f t="shared" si="104"/>
        <v>Divulgar el programa de mantenimiento</v>
      </c>
      <c r="BC67" s="1111"/>
      <c r="BD67" s="608">
        <v>0</v>
      </c>
      <c r="BE67" s="1095"/>
      <c r="BF67" s="692">
        <f t="shared" si="105"/>
        <v>0</v>
      </c>
      <c r="BG67" s="1090"/>
      <c r="BH67" s="692">
        <f t="shared" si="106"/>
        <v>0</v>
      </c>
      <c r="BI67" s="1090"/>
      <c r="BJ67" s="860" t="s">
        <v>1652</v>
      </c>
      <c r="BK67" s="641">
        <v>0</v>
      </c>
      <c r="BL67" s="689" t="str">
        <f t="shared" si="107"/>
        <v>Divulgar el programa de mantenimiento</v>
      </c>
      <c r="BM67" s="1111"/>
      <c r="BN67" s="694"/>
      <c r="BO67" s="1093"/>
      <c r="BP67" s="692" t="e">
        <f t="shared" si="108"/>
        <v>#DIV/0!</v>
      </c>
      <c r="BQ67" s="1090"/>
      <c r="BR67" s="692">
        <f t="shared" si="109"/>
        <v>0</v>
      </c>
      <c r="BS67" s="1090"/>
      <c r="BT67" s="692"/>
      <c r="BU67" s="641">
        <v>1</v>
      </c>
      <c r="BV67" s="689" t="str">
        <f t="shared" si="110"/>
        <v>Divulgar el programa de mantenimiento</v>
      </c>
      <c r="BW67" s="1111"/>
      <c r="BX67" s="694"/>
      <c r="BY67" s="1093"/>
      <c r="BZ67" s="707">
        <f t="shared" si="111"/>
        <v>0</v>
      </c>
      <c r="CA67" s="1109"/>
      <c r="CB67" s="707">
        <f t="shared" si="112"/>
        <v>0</v>
      </c>
      <c r="CC67" s="1109"/>
      <c r="CD67" s="707"/>
      <c r="CE67" s="699" t="str">
        <f t="shared" si="113"/>
        <v>No Prog ni Ejec</v>
      </c>
      <c r="CF67" s="1096"/>
      <c r="CG67" s="699">
        <f t="shared" si="114"/>
        <v>0</v>
      </c>
      <c r="CH67" s="1096"/>
      <c r="CI67" s="699" t="str">
        <f t="shared" si="115"/>
        <v>No Prog ni Ejec</v>
      </c>
      <c r="CJ67" s="1096"/>
      <c r="CK67" s="699">
        <f t="shared" si="116"/>
        <v>0</v>
      </c>
      <c r="CL67" s="1108"/>
      <c r="CM67" s="613">
        <f t="shared" si="6"/>
        <v>0</v>
      </c>
      <c r="CR67" s="70"/>
      <c r="CS67" s="70"/>
      <c r="CT67" s="70"/>
      <c r="CU67" s="70"/>
      <c r="CV67" s="70"/>
      <c r="CW67" s="70"/>
      <c r="CX67" s="70"/>
      <c r="CY67" s="70">
        <v>8</v>
      </c>
      <c r="CZ67" s="70"/>
      <c r="DA67" s="70"/>
      <c r="DB67" s="70">
        <v>11</v>
      </c>
      <c r="DC67" s="70"/>
    </row>
    <row r="68" spans="1:107" s="70" customFormat="1" ht="178.5" hidden="1" x14ac:dyDescent="0.2">
      <c r="A68" s="785">
        <v>11700</v>
      </c>
      <c r="B68" s="693" t="s">
        <v>14</v>
      </c>
      <c r="C68" s="724" t="s">
        <v>507</v>
      </c>
      <c r="D68" s="724"/>
      <c r="E68" s="724"/>
      <c r="F68" s="724" t="s">
        <v>1023</v>
      </c>
      <c r="G68" s="724"/>
      <c r="H68" s="724"/>
      <c r="I68" s="724" t="s">
        <v>1023</v>
      </c>
      <c r="J68" s="724"/>
      <c r="K68" s="724"/>
      <c r="L68" s="724" t="s">
        <v>1023</v>
      </c>
      <c r="M68" s="724"/>
      <c r="N68" s="724"/>
      <c r="O68" s="724"/>
      <c r="P68" s="724"/>
      <c r="Q68" s="693" t="s">
        <v>204</v>
      </c>
      <c r="R68" s="693" t="s">
        <v>204</v>
      </c>
      <c r="S68" s="695" t="s">
        <v>238</v>
      </c>
      <c r="T68" s="693" t="s">
        <v>94</v>
      </c>
      <c r="U68" s="693" t="s">
        <v>204</v>
      </c>
      <c r="V68" s="693" t="s">
        <v>204</v>
      </c>
      <c r="W68" s="695" t="s">
        <v>748</v>
      </c>
      <c r="X68" s="693" t="s">
        <v>702</v>
      </c>
      <c r="Y68" s="716" t="s">
        <v>169</v>
      </c>
      <c r="Z68" s="690">
        <v>1</v>
      </c>
      <c r="AA68" s="695" t="s">
        <v>726</v>
      </c>
      <c r="AB68" s="693" t="s">
        <v>703</v>
      </c>
      <c r="AC68" s="1121"/>
      <c r="AD68" s="706">
        <v>1</v>
      </c>
      <c r="AE68" s="693" t="s">
        <v>16</v>
      </c>
      <c r="AF68" s="693" t="s">
        <v>21</v>
      </c>
      <c r="AG68" s="693" t="s">
        <v>204</v>
      </c>
      <c r="AH68" s="693" t="s">
        <v>638</v>
      </c>
      <c r="AI68" s="693" t="s">
        <v>77</v>
      </c>
      <c r="AJ68" s="693" t="s">
        <v>1298</v>
      </c>
      <c r="AK68" s="693" t="s">
        <v>704</v>
      </c>
      <c r="AL68" s="693" t="s">
        <v>43</v>
      </c>
      <c r="AM68" s="706">
        <v>1</v>
      </c>
      <c r="AN68" s="693" t="str">
        <f t="shared" si="100"/>
        <v>Investigar los eventos de incidentes, accidentes de trabajo  y/o enfermedades laborales que se presenten</v>
      </c>
      <c r="AO68" s="965"/>
      <c r="AP68" s="700" t="s">
        <v>46</v>
      </c>
      <c r="AQ68" s="706">
        <v>0.25</v>
      </c>
      <c r="AR68" s="693" t="str">
        <f t="shared" ref="AR68:AR76" si="117">+AN68</f>
        <v>Investigar los eventos de incidentes, accidentes de trabajo  y/o enfermedades laborales que se presenten</v>
      </c>
      <c r="AS68" s="1121"/>
      <c r="AT68" s="496">
        <v>0.25</v>
      </c>
      <c r="AU68" s="1112"/>
      <c r="AV68" s="690">
        <f t="shared" ref="AV68:AV76" si="118">+(AT68/AQ68)</f>
        <v>1</v>
      </c>
      <c r="AW68" s="960"/>
      <c r="AX68" s="690">
        <f t="shared" ref="AX68:AX76" si="119">+(AT68/AM68)</f>
        <v>0.25</v>
      </c>
      <c r="AY68" s="960"/>
      <c r="AZ68" s="490" t="s">
        <v>1772</v>
      </c>
      <c r="BA68" s="706">
        <v>0.25</v>
      </c>
      <c r="BB68" s="693" t="str">
        <f t="shared" ref="BB68:BB76" si="120">+AN68</f>
        <v>Investigar los eventos de incidentes, accidentes de trabajo  y/o enfermedades laborales que se presenten</v>
      </c>
      <c r="BC68" s="1110"/>
      <c r="BD68" s="515">
        <f>(2/2)*0.25</f>
        <v>0.25</v>
      </c>
      <c r="BE68" s="963"/>
      <c r="BF68" s="690">
        <f t="shared" ref="BF68:BF76" si="121">+(BD68/BA68)</f>
        <v>1</v>
      </c>
      <c r="BG68" s="960"/>
      <c r="BH68" s="690">
        <f t="shared" ref="BH68:BH76" si="122">+(BD68+AT68)/AM68</f>
        <v>0.5</v>
      </c>
      <c r="BI68" s="960"/>
      <c r="BJ68" s="516" t="s">
        <v>1653</v>
      </c>
      <c r="BK68" s="706">
        <v>0.25</v>
      </c>
      <c r="BL68" s="693" t="str">
        <f t="shared" ref="BL68:BL76" si="123">+AN68</f>
        <v>Investigar los eventos de incidentes, accidentes de trabajo  y/o enfermedades laborales que se presenten</v>
      </c>
      <c r="BM68" s="1110"/>
      <c r="BN68" s="695"/>
      <c r="BO68" s="968"/>
      <c r="BP68" s="690">
        <f t="shared" ref="BP68:BP76" si="124">+(BN68/BK68)</f>
        <v>0</v>
      </c>
      <c r="BQ68" s="960"/>
      <c r="BR68" s="690">
        <f t="shared" ref="BR68:BR76" si="125">+(BD68+AT68+BN68)/AM68</f>
        <v>0.5</v>
      </c>
      <c r="BS68" s="960"/>
      <c r="BT68" s="690"/>
      <c r="BU68" s="706">
        <v>0.25</v>
      </c>
      <c r="BV68" s="693" t="str">
        <f t="shared" ref="BV68:BV76" si="126">+AN68</f>
        <v>Investigar los eventos de incidentes, accidentes de trabajo  y/o enfermedades laborales que se presenten</v>
      </c>
      <c r="BW68" s="1110"/>
      <c r="BX68" s="695"/>
      <c r="BY68" s="968"/>
      <c r="BZ68" s="698">
        <f t="shared" ref="BZ68:BZ76" si="127">+(BX68/BU68)</f>
        <v>0</v>
      </c>
      <c r="CA68" s="957"/>
      <c r="CB68" s="698">
        <f t="shared" ref="CB68:CB76" si="128">+(BD68+AT68+BN68+BX68)/AM68</f>
        <v>0.5</v>
      </c>
      <c r="CC68" s="957"/>
      <c r="CD68" s="698"/>
      <c r="CE68" s="697">
        <f t="shared" ref="CE68:CE76" si="129">IF(AND(AQ68=0,AT68=0),"No Prog ni Ejec",IF(AQ68=0,CONCATENATE("No Prog, Ejec=  ",AT68),AT68/AQ68))</f>
        <v>1</v>
      </c>
      <c r="CF68" s="1018"/>
      <c r="CG68" s="697">
        <f t="shared" ref="CG68:CG76" si="130">IF(AND(BA68=0,BD68=0),"No Prog ni Ejec",IF(BA68=0,CONCATENATE("No Prog, Ejec=  ",BD68),BD68/BA68))</f>
        <v>1</v>
      </c>
      <c r="CH68" s="1018"/>
      <c r="CI68" s="697">
        <f t="shared" ref="CI68:CI76" si="131">IF(AND(BK68=0,BN68=0),"No Prog ni Ejec",IF(BK68=0,CONCATENATE("No Prog, Ejec=  ",BN68),BN68/BK68))</f>
        <v>0</v>
      </c>
      <c r="CJ68" s="1018"/>
      <c r="CK68" s="697">
        <f t="shared" ref="CK68:CK76" si="132">IF(AND(BU68=0,BX68=0),"No Prog ni Ejec",IF(BU68=0,CONCATENATE("No Prog, Ejec=  ",BX68),BX68/BU68))</f>
        <v>0</v>
      </c>
      <c r="CL68" s="1017"/>
      <c r="CM68" s="136">
        <f t="shared" si="6"/>
        <v>0</v>
      </c>
      <c r="CY68" s="70">
        <v>8</v>
      </c>
      <c r="DB68" s="70">
        <v>11</v>
      </c>
    </row>
    <row r="69" spans="1:107" s="70" customFormat="1" ht="99.75" hidden="1" customHeight="1" x14ac:dyDescent="0.2">
      <c r="A69" s="785">
        <v>11700</v>
      </c>
      <c r="B69" s="693" t="s">
        <v>14</v>
      </c>
      <c r="C69" s="724" t="s">
        <v>507</v>
      </c>
      <c r="D69" s="724"/>
      <c r="E69" s="724"/>
      <c r="F69" s="724" t="s">
        <v>1023</v>
      </c>
      <c r="G69" s="724"/>
      <c r="H69" s="724"/>
      <c r="I69" s="724" t="s">
        <v>1023</v>
      </c>
      <c r="J69" s="724"/>
      <c r="K69" s="724"/>
      <c r="L69" s="724" t="s">
        <v>1023</v>
      </c>
      <c r="M69" s="724"/>
      <c r="N69" s="724"/>
      <c r="O69" s="724"/>
      <c r="P69" s="724"/>
      <c r="Q69" s="693" t="s">
        <v>204</v>
      </c>
      <c r="R69" s="693" t="s">
        <v>204</v>
      </c>
      <c r="S69" s="695" t="s">
        <v>238</v>
      </c>
      <c r="T69" s="693" t="s">
        <v>94</v>
      </c>
      <c r="U69" s="693" t="s">
        <v>204</v>
      </c>
      <c r="V69" s="693" t="s">
        <v>204</v>
      </c>
      <c r="W69" s="695" t="s">
        <v>749</v>
      </c>
      <c r="X69" s="693" t="s">
        <v>672</v>
      </c>
      <c r="Y69" s="716" t="s">
        <v>391</v>
      </c>
      <c r="Z69" s="715">
        <v>4</v>
      </c>
      <c r="AA69" s="695" t="s">
        <v>727</v>
      </c>
      <c r="AB69" s="693" t="s">
        <v>678</v>
      </c>
      <c r="AC69" s="1121"/>
      <c r="AD69" s="706">
        <v>1</v>
      </c>
      <c r="AE69" s="693" t="s">
        <v>16</v>
      </c>
      <c r="AF69" s="693" t="s">
        <v>21</v>
      </c>
      <c r="AG69" s="693" t="s">
        <v>204</v>
      </c>
      <c r="AH69" s="693" t="s">
        <v>638</v>
      </c>
      <c r="AI69" s="693" t="s">
        <v>77</v>
      </c>
      <c r="AJ69" s="693" t="s">
        <v>1298</v>
      </c>
      <c r="AK69" s="693" t="s">
        <v>706</v>
      </c>
      <c r="AL69" s="693" t="s">
        <v>43</v>
      </c>
      <c r="AM69" s="715">
        <v>4</v>
      </c>
      <c r="AN69" s="693" t="str">
        <f>+AB69</f>
        <v>Realizar Reuniones - Inspecciones - Acompañamiento y seguimiento en el desarrollo del Comité paritario de seguridad y Salud en el trabajo</v>
      </c>
      <c r="AO69" s="965"/>
      <c r="AP69" s="700" t="s">
        <v>46</v>
      </c>
      <c r="AQ69" s="163">
        <v>1</v>
      </c>
      <c r="AR69" s="693" t="str">
        <f t="shared" si="117"/>
        <v>Realizar Reuniones - Inspecciones - Acompañamiento y seguimiento en el desarrollo del Comité paritario de seguridad y Salud en el trabajo</v>
      </c>
      <c r="AS69" s="1121"/>
      <c r="AT69" s="491">
        <v>1</v>
      </c>
      <c r="AU69" s="1112"/>
      <c r="AV69" s="690">
        <f t="shared" si="118"/>
        <v>1</v>
      </c>
      <c r="AW69" s="960"/>
      <c r="AX69" s="690">
        <f t="shared" si="119"/>
        <v>0.25</v>
      </c>
      <c r="AY69" s="960"/>
      <c r="AZ69" s="490" t="s">
        <v>1641</v>
      </c>
      <c r="BA69" s="163">
        <v>1</v>
      </c>
      <c r="BB69" s="693" t="str">
        <f t="shared" si="120"/>
        <v>Realizar Reuniones - Inspecciones - Acompañamiento y seguimiento en el desarrollo del Comité paritario de seguridad y Salud en el trabajo</v>
      </c>
      <c r="BC69" s="1110"/>
      <c r="BD69" s="716">
        <v>1</v>
      </c>
      <c r="BE69" s="963"/>
      <c r="BF69" s="690">
        <f t="shared" si="121"/>
        <v>1</v>
      </c>
      <c r="BG69" s="960"/>
      <c r="BH69" s="690">
        <f t="shared" si="122"/>
        <v>0.5</v>
      </c>
      <c r="BI69" s="960"/>
      <c r="BJ69" s="516" t="s">
        <v>1654</v>
      </c>
      <c r="BK69" s="163">
        <v>1</v>
      </c>
      <c r="BL69" s="693" t="str">
        <f t="shared" si="123"/>
        <v>Realizar Reuniones - Inspecciones - Acompañamiento y seguimiento en el desarrollo del Comité paritario de seguridad y Salud en el trabajo</v>
      </c>
      <c r="BM69" s="1110"/>
      <c r="BN69" s="695"/>
      <c r="BO69" s="968"/>
      <c r="BP69" s="690">
        <f t="shared" si="124"/>
        <v>0</v>
      </c>
      <c r="BQ69" s="960"/>
      <c r="BR69" s="690">
        <f t="shared" si="125"/>
        <v>0.5</v>
      </c>
      <c r="BS69" s="960"/>
      <c r="BT69" s="690"/>
      <c r="BU69" s="163">
        <v>1</v>
      </c>
      <c r="BV69" s="693" t="str">
        <f t="shared" si="126"/>
        <v>Realizar Reuniones - Inspecciones - Acompañamiento y seguimiento en el desarrollo del Comité paritario de seguridad y Salud en el trabajo</v>
      </c>
      <c r="BW69" s="1110"/>
      <c r="BX69" s="695"/>
      <c r="BY69" s="968"/>
      <c r="BZ69" s="698">
        <f t="shared" si="127"/>
        <v>0</v>
      </c>
      <c r="CA69" s="957"/>
      <c r="CB69" s="698">
        <f t="shared" si="128"/>
        <v>0.5</v>
      </c>
      <c r="CC69" s="957"/>
      <c r="CD69" s="698"/>
      <c r="CE69" s="697">
        <f t="shared" si="129"/>
        <v>1</v>
      </c>
      <c r="CF69" s="1018"/>
      <c r="CG69" s="697">
        <f t="shared" si="130"/>
        <v>1</v>
      </c>
      <c r="CH69" s="1018"/>
      <c r="CI69" s="697">
        <f t="shared" si="131"/>
        <v>0</v>
      </c>
      <c r="CJ69" s="1018"/>
      <c r="CK69" s="697">
        <f t="shared" si="132"/>
        <v>0</v>
      </c>
      <c r="CL69" s="1017"/>
      <c r="CM69" s="136">
        <f t="shared" si="6"/>
        <v>0</v>
      </c>
      <c r="CY69" s="70">
        <v>8</v>
      </c>
      <c r="DB69" s="70">
        <v>11</v>
      </c>
    </row>
    <row r="70" spans="1:107" s="614" customFormat="1" ht="101.25" hidden="1" customHeight="1" x14ac:dyDescent="0.2">
      <c r="A70" s="828">
        <v>11700</v>
      </c>
      <c r="B70" s="689" t="s">
        <v>14</v>
      </c>
      <c r="C70" s="605" t="s">
        <v>507</v>
      </c>
      <c r="D70" s="724"/>
      <c r="E70" s="724"/>
      <c r="F70" s="724" t="s">
        <v>1023</v>
      </c>
      <c r="G70" s="724"/>
      <c r="H70" s="724"/>
      <c r="I70" s="724" t="s">
        <v>1023</v>
      </c>
      <c r="J70" s="724"/>
      <c r="K70" s="724"/>
      <c r="L70" s="724" t="s">
        <v>1023</v>
      </c>
      <c r="M70" s="724"/>
      <c r="N70" s="724"/>
      <c r="O70" s="724"/>
      <c r="P70" s="724"/>
      <c r="Q70" s="693" t="s">
        <v>204</v>
      </c>
      <c r="R70" s="693" t="s">
        <v>204</v>
      </c>
      <c r="S70" s="695" t="s">
        <v>238</v>
      </c>
      <c r="T70" s="693" t="s">
        <v>94</v>
      </c>
      <c r="U70" s="693" t="s">
        <v>204</v>
      </c>
      <c r="V70" s="693" t="s">
        <v>204</v>
      </c>
      <c r="W70" s="694" t="s">
        <v>750</v>
      </c>
      <c r="X70" s="689" t="s">
        <v>673</v>
      </c>
      <c r="Y70" s="608" t="s">
        <v>391</v>
      </c>
      <c r="Z70" s="640">
        <v>1</v>
      </c>
      <c r="AA70" s="694" t="s">
        <v>728</v>
      </c>
      <c r="AB70" s="689" t="s">
        <v>679</v>
      </c>
      <c r="AC70" s="1122"/>
      <c r="AD70" s="706">
        <v>1</v>
      </c>
      <c r="AE70" s="693" t="s">
        <v>16</v>
      </c>
      <c r="AF70" s="693" t="s">
        <v>21</v>
      </c>
      <c r="AG70" s="693" t="s">
        <v>204</v>
      </c>
      <c r="AH70" s="693" t="s">
        <v>638</v>
      </c>
      <c r="AI70" s="693" t="s">
        <v>77</v>
      </c>
      <c r="AJ70" s="693" t="s">
        <v>1298</v>
      </c>
      <c r="AK70" s="689" t="s">
        <v>706</v>
      </c>
      <c r="AL70" s="693" t="s">
        <v>43</v>
      </c>
      <c r="AM70" s="640">
        <v>2</v>
      </c>
      <c r="AN70" s="689" t="str">
        <f t="shared" si="100"/>
        <v>Realizar evaluación de cumplimiento del SG-SST de proveedores y contratistas "de personería jurídica"</v>
      </c>
      <c r="AO70" s="1099"/>
      <c r="AP70" s="700" t="s">
        <v>46</v>
      </c>
      <c r="AQ70" s="641">
        <v>0</v>
      </c>
      <c r="AR70" s="689" t="str">
        <f t="shared" si="117"/>
        <v>Realizar evaluación de cumplimiento del SG-SST de proveedores y contratistas "de personería jurídica"</v>
      </c>
      <c r="AS70" s="1122"/>
      <c r="AT70" s="694">
        <v>0</v>
      </c>
      <c r="AU70" s="1095"/>
      <c r="AV70" s="692" t="e">
        <f t="shared" si="118"/>
        <v>#DIV/0!</v>
      </c>
      <c r="AW70" s="1090"/>
      <c r="AX70" s="692">
        <f t="shared" si="119"/>
        <v>0</v>
      </c>
      <c r="AY70" s="1090"/>
      <c r="AZ70" s="642" t="s">
        <v>1343</v>
      </c>
      <c r="BA70" s="641">
        <v>1</v>
      </c>
      <c r="BB70" s="689" t="str">
        <f t="shared" si="120"/>
        <v>Realizar evaluación de cumplimiento del SG-SST de proveedores y contratistas "de personería jurídica"</v>
      </c>
      <c r="BC70" s="1111"/>
      <c r="BD70" s="608">
        <v>0</v>
      </c>
      <c r="BE70" s="1095"/>
      <c r="BF70" s="692">
        <f t="shared" si="121"/>
        <v>0</v>
      </c>
      <c r="BG70" s="1090"/>
      <c r="BH70" s="692">
        <f t="shared" si="122"/>
        <v>0</v>
      </c>
      <c r="BI70" s="1090"/>
      <c r="BJ70" s="860" t="s">
        <v>1652</v>
      </c>
      <c r="BK70" s="641">
        <v>0</v>
      </c>
      <c r="BL70" s="689" t="str">
        <f t="shared" si="123"/>
        <v>Realizar evaluación de cumplimiento del SG-SST de proveedores y contratistas "de personería jurídica"</v>
      </c>
      <c r="BM70" s="1111"/>
      <c r="BN70" s="694"/>
      <c r="BO70" s="1093"/>
      <c r="BP70" s="692" t="e">
        <f t="shared" si="124"/>
        <v>#DIV/0!</v>
      </c>
      <c r="BQ70" s="1090"/>
      <c r="BR70" s="692">
        <f t="shared" si="125"/>
        <v>0</v>
      </c>
      <c r="BS70" s="1090"/>
      <c r="BT70" s="692"/>
      <c r="BU70" s="641">
        <v>1</v>
      </c>
      <c r="BV70" s="689" t="str">
        <f t="shared" si="126"/>
        <v>Realizar evaluación de cumplimiento del SG-SST de proveedores y contratistas "de personería jurídica"</v>
      </c>
      <c r="BW70" s="1111"/>
      <c r="BX70" s="694"/>
      <c r="BY70" s="1093"/>
      <c r="BZ70" s="707">
        <f t="shared" si="127"/>
        <v>0</v>
      </c>
      <c r="CA70" s="1109"/>
      <c r="CB70" s="707">
        <f t="shared" si="128"/>
        <v>0</v>
      </c>
      <c r="CC70" s="1109"/>
      <c r="CD70" s="707"/>
      <c r="CE70" s="699" t="str">
        <f t="shared" si="129"/>
        <v>No Prog ni Ejec</v>
      </c>
      <c r="CF70" s="1096"/>
      <c r="CG70" s="699">
        <f t="shared" si="130"/>
        <v>0</v>
      </c>
      <c r="CH70" s="1096"/>
      <c r="CI70" s="699" t="str">
        <f t="shared" si="131"/>
        <v>No Prog ni Ejec</v>
      </c>
      <c r="CJ70" s="1096"/>
      <c r="CK70" s="699">
        <f t="shared" si="132"/>
        <v>0</v>
      </c>
      <c r="CL70" s="1108"/>
      <c r="CM70" s="613">
        <f t="shared" si="6"/>
        <v>0</v>
      </c>
      <c r="CR70" s="70"/>
      <c r="CS70" s="70"/>
      <c r="CT70" s="70"/>
      <c r="CU70" s="70"/>
      <c r="CV70" s="70"/>
      <c r="CW70" s="70"/>
      <c r="CX70" s="70"/>
      <c r="CY70" s="70">
        <v>8</v>
      </c>
      <c r="CZ70" s="70"/>
      <c r="DA70" s="70"/>
      <c r="DB70" s="70">
        <v>11</v>
      </c>
      <c r="DC70" s="70"/>
    </row>
    <row r="71" spans="1:107" s="614" customFormat="1" ht="106.5" hidden="1" customHeight="1" x14ac:dyDescent="0.2">
      <c r="A71" s="828">
        <v>11700</v>
      </c>
      <c r="B71" s="689" t="s">
        <v>14</v>
      </c>
      <c r="C71" s="605" t="s">
        <v>507</v>
      </c>
      <c r="D71" s="724"/>
      <c r="E71" s="724"/>
      <c r="F71" s="724" t="s">
        <v>1023</v>
      </c>
      <c r="G71" s="724"/>
      <c r="H71" s="724"/>
      <c r="I71" s="724" t="s">
        <v>1023</v>
      </c>
      <c r="J71" s="724"/>
      <c r="K71" s="724"/>
      <c r="L71" s="724" t="s">
        <v>1023</v>
      </c>
      <c r="M71" s="724"/>
      <c r="N71" s="724"/>
      <c r="O71" s="724"/>
      <c r="P71" s="724"/>
      <c r="Q71" s="693" t="s">
        <v>204</v>
      </c>
      <c r="R71" s="693" t="s">
        <v>204</v>
      </c>
      <c r="S71" s="695" t="s">
        <v>238</v>
      </c>
      <c r="T71" s="693" t="s">
        <v>94</v>
      </c>
      <c r="U71" s="693" t="s">
        <v>204</v>
      </c>
      <c r="V71" s="693" t="s">
        <v>204</v>
      </c>
      <c r="W71" s="694" t="s">
        <v>751</v>
      </c>
      <c r="X71" s="689" t="s">
        <v>674</v>
      </c>
      <c r="Y71" s="608" t="s">
        <v>391</v>
      </c>
      <c r="Z71" s="640">
        <v>1</v>
      </c>
      <c r="AA71" s="694" t="s">
        <v>729</v>
      </c>
      <c r="AB71" s="689" t="s">
        <v>680</v>
      </c>
      <c r="AC71" s="1122"/>
      <c r="AD71" s="706">
        <v>1</v>
      </c>
      <c r="AE71" s="693" t="s">
        <v>16</v>
      </c>
      <c r="AF71" s="693" t="s">
        <v>21</v>
      </c>
      <c r="AG71" s="693" t="s">
        <v>204</v>
      </c>
      <c r="AH71" s="693" t="s">
        <v>638</v>
      </c>
      <c r="AI71" s="693" t="s">
        <v>77</v>
      </c>
      <c r="AJ71" s="693" t="s">
        <v>1298</v>
      </c>
      <c r="AK71" s="689" t="s">
        <v>706</v>
      </c>
      <c r="AL71" s="693" t="s">
        <v>43</v>
      </c>
      <c r="AM71" s="640">
        <v>1</v>
      </c>
      <c r="AN71" s="689" t="str">
        <f t="shared" si="100"/>
        <v>Realizar auditoria interna del SG-SST</v>
      </c>
      <c r="AO71" s="1099"/>
      <c r="AP71" s="700" t="s">
        <v>46</v>
      </c>
      <c r="AQ71" s="641">
        <v>0</v>
      </c>
      <c r="AR71" s="689" t="str">
        <f t="shared" si="117"/>
        <v>Realizar auditoria interna del SG-SST</v>
      </c>
      <c r="AS71" s="1122"/>
      <c r="AT71" s="694">
        <v>0</v>
      </c>
      <c r="AU71" s="1095"/>
      <c r="AV71" s="692" t="e">
        <f t="shared" si="118"/>
        <v>#DIV/0!</v>
      </c>
      <c r="AW71" s="1090"/>
      <c r="AX71" s="692">
        <f t="shared" si="119"/>
        <v>0</v>
      </c>
      <c r="AY71" s="1090"/>
      <c r="AZ71" s="642" t="s">
        <v>1343</v>
      </c>
      <c r="BA71" s="641">
        <v>0</v>
      </c>
      <c r="BB71" s="689" t="str">
        <f t="shared" si="120"/>
        <v>Realizar auditoria interna del SG-SST</v>
      </c>
      <c r="BC71" s="1111"/>
      <c r="BD71" s="608">
        <v>0</v>
      </c>
      <c r="BE71" s="1095"/>
      <c r="BF71" s="692" t="e">
        <f t="shared" si="121"/>
        <v>#DIV/0!</v>
      </c>
      <c r="BG71" s="1090"/>
      <c r="BH71" s="692">
        <f t="shared" si="122"/>
        <v>0</v>
      </c>
      <c r="BI71" s="1090"/>
      <c r="BJ71" s="860" t="s">
        <v>1655</v>
      </c>
      <c r="BK71" s="641">
        <v>0</v>
      </c>
      <c r="BL71" s="689" t="str">
        <f t="shared" si="123"/>
        <v>Realizar auditoria interna del SG-SST</v>
      </c>
      <c r="BM71" s="1111"/>
      <c r="BN71" s="694"/>
      <c r="BO71" s="1093"/>
      <c r="BP71" s="692" t="e">
        <f t="shared" si="124"/>
        <v>#DIV/0!</v>
      </c>
      <c r="BQ71" s="1090"/>
      <c r="BR71" s="692">
        <f t="shared" si="125"/>
        <v>0</v>
      </c>
      <c r="BS71" s="1090"/>
      <c r="BT71" s="692"/>
      <c r="BU71" s="641">
        <v>1</v>
      </c>
      <c r="BV71" s="689" t="str">
        <f t="shared" si="126"/>
        <v>Realizar auditoria interna del SG-SST</v>
      </c>
      <c r="BW71" s="1111"/>
      <c r="BX71" s="694"/>
      <c r="BY71" s="1093"/>
      <c r="BZ71" s="707">
        <f t="shared" si="127"/>
        <v>0</v>
      </c>
      <c r="CA71" s="1109"/>
      <c r="CB71" s="707">
        <f t="shared" si="128"/>
        <v>0</v>
      </c>
      <c r="CC71" s="1109"/>
      <c r="CD71" s="707"/>
      <c r="CE71" s="699" t="str">
        <f t="shared" si="129"/>
        <v>No Prog ni Ejec</v>
      </c>
      <c r="CF71" s="1096"/>
      <c r="CG71" s="699" t="str">
        <f t="shared" si="130"/>
        <v>No Prog ni Ejec</v>
      </c>
      <c r="CH71" s="1096"/>
      <c r="CI71" s="699" t="str">
        <f t="shared" si="131"/>
        <v>No Prog ni Ejec</v>
      </c>
      <c r="CJ71" s="1096"/>
      <c r="CK71" s="699">
        <f t="shared" si="132"/>
        <v>0</v>
      </c>
      <c r="CL71" s="1108"/>
      <c r="CM71" s="613">
        <f t="shared" si="6"/>
        <v>0</v>
      </c>
      <c r="CR71" s="70"/>
      <c r="CS71" s="70"/>
      <c r="CT71" s="70"/>
      <c r="CU71" s="70"/>
      <c r="CV71" s="70"/>
      <c r="CW71" s="70"/>
      <c r="CX71" s="70"/>
      <c r="CY71" s="70">
        <v>8</v>
      </c>
      <c r="CZ71" s="70"/>
      <c r="DA71" s="70"/>
      <c r="DB71" s="70">
        <v>11</v>
      </c>
      <c r="DC71" s="70"/>
    </row>
    <row r="72" spans="1:107" s="614" customFormat="1" ht="102.75" hidden="1" customHeight="1" x14ac:dyDescent="0.2">
      <c r="A72" s="828">
        <v>11700</v>
      </c>
      <c r="B72" s="689" t="s">
        <v>14</v>
      </c>
      <c r="C72" s="605" t="s">
        <v>507</v>
      </c>
      <c r="D72" s="724"/>
      <c r="E72" s="724"/>
      <c r="F72" s="724" t="s">
        <v>1023</v>
      </c>
      <c r="G72" s="724"/>
      <c r="H72" s="724"/>
      <c r="I72" s="724" t="s">
        <v>1023</v>
      </c>
      <c r="J72" s="724"/>
      <c r="K72" s="724"/>
      <c r="L72" s="724" t="s">
        <v>1023</v>
      </c>
      <c r="M72" s="724"/>
      <c r="N72" s="724"/>
      <c r="O72" s="724"/>
      <c r="P72" s="724"/>
      <c r="Q72" s="693" t="s">
        <v>204</v>
      </c>
      <c r="R72" s="693" t="s">
        <v>204</v>
      </c>
      <c r="S72" s="695" t="s">
        <v>238</v>
      </c>
      <c r="T72" s="693" t="s">
        <v>94</v>
      </c>
      <c r="U72" s="693" t="s">
        <v>204</v>
      </c>
      <c r="V72" s="693" t="s">
        <v>204</v>
      </c>
      <c r="W72" s="694" t="s">
        <v>752</v>
      </c>
      <c r="X72" s="689" t="s">
        <v>705</v>
      </c>
      <c r="Y72" s="608" t="s">
        <v>391</v>
      </c>
      <c r="Z72" s="640">
        <v>1</v>
      </c>
      <c r="AA72" s="694" t="s">
        <v>730</v>
      </c>
      <c r="AB72" s="689" t="s">
        <v>681</v>
      </c>
      <c r="AC72" s="1122"/>
      <c r="AD72" s="706">
        <v>1</v>
      </c>
      <c r="AE72" s="693" t="s">
        <v>16</v>
      </c>
      <c r="AF72" s="693" t="s">
        <v>21</v>
      </c>
      <c r="AG72" s="693" t="s">
        <v>204</v>
      </c>
      <c r="AH72" s="693" t="s">
        <v>638</v>
      </c>
      <c r="AI72" s="693" t="s">
        <v>77</v>
      </c>
      <c r="AJ72" s="693" t="s">
        <v>1298</v>
      </c>
      <c r="AK72" s="689" t="s">
        <v>706</v>
      </c>
      <c r="AL72" s="693" t="s">
        <v>43</v>
      </c>
      <c r="AM72" s="640">
        <v>1</v>
      </c>
      <c r="AN72" s="689" t="str">
        <f t="shared" si="100"/>
        <v>Realizar plan de acción de los hallazgos generados por auditoria interna o entes de control.</v>
      </c>
      <c r="AO72" s="1099"/>
      <c r="AP72" s="700" t="s">
        <v>46</v>
      </c>
      <c r="AQ72" s="641">
        <v>0</v>
      </c>
      <c r="AR72" s="689" t="str">
        <f t="shared" si="117"/>
        <v>Realizar plan de acción de los hallazgos generados por auditoria interna o entes de control.</v>
      </c>
      <c r="AS72" s="1122"/>
      <c r="AT72" s="694">
        <v>0</v>
      </c>
      <c r="AU72" s="1095"/>
      <c r="AV72" s="692" t="e">
        <f t="shared" si="118"/>
        <v>#DIV/0!</v>
      </c>
      <c r="AW72" s="1090"/>
      <c r="AX72" s="692">
        <f t="shared" si="119"/>
        <v>0</v>
      </c>
      <c r="AY72" s="1090"/>
      <c r="AZ72" s="642" t="s">
        <v>1343</v>
      </c>
      <c r="BA72" s="641">
        <v>0</v>
      </c>
      <c r="BB72" s="689" t="str">
        <f t="shared" si="120"/>
        <v>Realizar plan de acción de los hallazgos generados por auditoria interna o entes de control.</v>
      </c>
      <c r="BC72" s="1111"/>
      <c r="BD72" s="608">
        <v>0</v>
      </c>
      <c r="BE72" s="1095"/>
      <c r="BF72" s="692" t="e">
        <f t="shared" si="121"/>
        <v>#DIV/0!</v>
      </c>
      <c r="BG72" s="1090"/>
      <c r="BH72" s="692">
        <f t="shared" si="122"/>
        <v>0</v>
      </c>
      <c r="BI72" s="1090"/>
      <c r="BJ72" s="860" t="s">
        <v>1656</v>
      </c>
      <c r="BK72" s="641">
        <v>0</v>
      </c>
      <c r="BL72" s="689" t="str">
        <f t="shared" si="123"/>
        <v>Realizar plan de acción de los hallazgos generados por auditoria interna o entes de control.</v>
      </c>
      <c r="BM72" s="1111"/>
      <c r="BN72" s="694"/>
      <c r="BO72" s="1093"/>
      <c r="BP72" s="692" t="e">
        <f t="shared" si="124"/>
        <v>#DIV/0!</v>
      </c>
      <c r="BQ72" s="1090"/>
      <c r="BR72" s="692">
        <f t="shared" si="125"/>
        <v>0</v>
      </c>
      <c r="BS72" s="1090"/>
      <c r="BT72" s="692"/>
      <c r="BU72" s="641">
        <v>1</v>
      </c>
      <c r="BV72" s="689" t="str">
        <f t="shared" si="126"/>
        <v>Realizar plan de acción de los hallazgos generados por auditoria interna o entes de control.</v>
      </c>
      <c r="BW72" s="1111"/>
      <c r="BX72" s="694"/>
      <c r="BY72" s="1093"/>
      <c r="BZ72" s="707">
        <f t="shared" si="127"/>
        <v>0</v>
      </c>
      <c r="CA72" s="1109"/>
      <c r="CB72" s="707">
        <f t="shared" si="128"/>
        <v>0</v>
      </c>
      <c r="CC72" s="1109"/>
      <c r="CD72" s="707"/>
      <c r="CE72" s="699" t="str">
        <f t="shared" si="129"/>
        <v>No Prog ni Ejec</v>
      </c>
      <c r="CF72" s="1096"/>
      <c r="CG72" s="699" t="str">
        <f t="shared" si="130"/>
        <v>No Prog ni Ejec</v>
      </c>
      <c r="CH72" s="1096"/>
      <c r="CI72" s="699" t="str">
        <f t="shared" si="131"/>
        <v>No Prog ni Ejec</v>
      </c>
      <c r="CJ72" s="1096"/>
      <c r="CK72" s="699">
        <f t="shared" si="132"/>
        <v>0</v>
      </c>
      <c r="CL72" s="1108"/>
      <c r="CM72" s="613">
        <f t="shared" ref="CM72:CM136" si="133">+AC72-AS72-BC72-BM72-BW72</f>
        <v>0</v>
      </c>
      <c r="CR72" s="70"/>
      <c r="CS72" s="70"/>
      <c r="CT72" s="70"/>
      <c r="CU72" s="70"/>
      <c r="CV72" s="70"/>
      <c r="CW72" s="70"/>
      <c r="CX72" s="70"/>
      <c r="CY72" s="70">
        <v>8</v>
      </c>
      <c r="CZ72" s="70"/>
      <c r="DA72" s="70"/>
      <c r="DB72" s="70">
        <v>11</v>
      </c>
      <c r="DC72" s="70"/>
    </row>
    <row r="73" spans="1:107" s="614" customFormat="1" ht="103.5" hidden="1" customHeight="1" x14ac:dyDescent="0.2">
      <c r="A73" s="828">
        <v>11700</v>
      </c>
      <c r="B73" s="689" t="s">
        <v>14</v>
      </c>
      <c r="C73" s="605" t="s">
        <v>507</v>
      </c>
      <c r="D73" s="724"/>
      <c r="E73" s="724"/>
      <c r="F73" s="724" t="s">
        <v>1023</v>
      </c>
      <c r="G73" s="724"/>
      <c r="H73" s="724"/>
      <c r="I73" s="724" t="s">
        <v>1023</v>
      </c>
      <c r="J73" s="724"/>
      <c r="K73" s="724"/>
      <c r="L73" s="724" t="s">
        <v>1023</v>
      </c>
      <c r="M73" s="724"/>
      <c r="N73" s="724"/>
      <c r="O73" s="724"/>
      <c r="P73" s="724"/>
      <c r="Q73" s="693" t="s">
        <v>204</v>
      </c>
      <c r="R73" s="693" t="s">
        <v>204</v>
      </c>
      <c r="S73" s="695" t="s">
        <v>238</v>
      </c>
      <c r="T73" s="693" t="s">
        <v>94</v>
      </c>
      <c r="U73" s="693" t="s">
        <v>204</v>
      </c>
      <c r="V73" s="693" t="s">
        <v>204</v>
      </c>
      <c r="W73" s="694" t="s">
        <v>777</v>
      </c>
      <c r="X73" s="689" t="s">
        <v>503</v>
      </c>
      <c r="Y73" s="643" t="s">
        <v>408</v>
      </c>
      <c r="Z73" s="632">
        <v>1</v>
      </c>
      <c r="AA73" s="694" t="s">
        <v>774</v>
      </c>
      <c r="AB73" s="689" t="s">
        <v>753</v>
      </c>
      <c r="AC73" s="721">
        <v>20000000</v>
      </c>
      <c r="AD73" s="706">
        <v>1</v>
      </c>
      <c r="AE73" s="693" t="s">
        <v>16</v>
      </c>
      <c r="AF73" s="693" t="s">
        <v>21</v>
      </c>
      <c r="AG73" s="693" t="s">
        <v>204</v>
      </c>
      <c r="AH73" s="693" t="s">
        <v>638</v>
      </c>
      <c r="AI73" s="693" t="s">
        <v>77</v>
      </c>
      <c r="AJ73" s="693" t="s">
        <v>1298</v>
      </c>
      <c r="AK73" s="689" t="s">
        <v>504</v>
      </c>
      <c r="AL73" s="693" t="s">
        <v>43</v>
      </c>
      <c r="AM73" s="640">
        <v>1</v>
      </c>
      <c r="AN73" s="689" t="str">
        <f t="shared" si="100"/>
        <v>Elaborar el profesiograma de los servidores públicos de ADRES</v>
      </c>
      <c r="AO73" s="704">
        <f t="shared" ref="AO73:AO80" si="134">+AC73</f>
        <v>20000000</v>
      </c>
      <c r="AP73" s="700" t="s">
        <v>46</v>
      </c>
      <c r="AQ73" s="622">
        <v>0</v>
      </c>
      <c r="AR73" s="689" t="str">
        <f t="shared" si="117"/>
        <v>Elaborar el profesiograma de los servidores públicos de ADRES</v>
      </c>
      <c r="AS73" s="621">
        <v>0</v>
      </c>
      <c r="AT73" s="694">
        <v>0</v>
      </c>
      <c r="AU73" s="696">
        <v>0</v>
      </c>
      <c r="AV73" s="692" t="e">
        <f t="shared" si="118"/>
        <v>#DIV/0!</v>
      </c>
      <c r="AW73" s="692" t="e">
        <f>+(AU73/AS73)</f>
        <v>#DIV/0!</v>
      </c>
      <c r="AX73" s="692">
        <f t="shared" si="119"/>
        <v>0</v>
      </c>
      <c r="AY73" s="692">
        <f>+(AU73/AO73)</f>
        <v>0</v>
      </c>
      <c r="AZ73" s="642" t="s">
        <v>1343</v>
      </c>
      <c r="BA73" s="622">
        <v>0</v>
      </c>
      <c r="BB73" s="689" t="str">
        <f t="shared" si="120"/>
        <v>Elaborar el profesiograma de los servidores públicos de ADRES</v>
      </c>
      <c r="BC73" s="696">
        <v>0</v>
      </c>
      <c r="BD73" s="608">
        <v>0</v>
      </c>
      <c r="BE73" s="696">
        <v>0</v>
      </c>
      <c r="BF73" s="692" t="e">
        <f t="shared" si="121"/>
        <v>#DIV/0!</v>
      </c>
      <c r="BG73" s="692" t="e">
        <f>+(BE73/BC73)</f>
        <v>#DIV/0!</v>
      </c>
      <c r="BH73" s="692">
        <f t="shared" si="122"/>
        <v>0</v>
      </c>
      <c r="BI73" s="692">
        <f>+(BE73+AU73)/AO73</f>
        <v>0</v>
      </c>
      <c r="BJ73" s="860" t="s">
        <v>1657</v>
      </c>
      <c r="BK73" s="622">
        <v>0</v>
      </c>
      <c r="BL73" s="689" t="str">
        <f t="shared" si="123"/>
        <v>Elaborar el profesiograma de los servidores públicos de ADRES</v>
      </c>
      <c r="BM73" s="696">
        <v>0</v>
      </c>
      <c r="BN73" s="694"/>
      <c r="BO73" s="694"/>
      <c r="BP73" s="692" t="e">
        <f t="shared" si="124"/>
        <v>#DIV/0!</v>
      </c>
      <c r="BQ73" s="692" t="e">
        <f>+(BO73/BM73)</f>
        <v>#DIV/0!</v>
      </c>
      <c r="BR73" s="692">
        <f t="shared" si="125"/>
        <v>0</v>
      </c>
      <c r="BS73" s="692">
        <f>+(BE73+AU73+BO73)/AO73</f>
        <v>0</v>
      </c>
      <c r="BT73" s="692"/>
      <c r="BU73" s="632">
        <v>1</v>
      </c>
      <c r="BV73" s="689" t="str">
        <f t="shared" si="126"/>
        <v>Elaborar el profesiograma de los servidores públicos de ADRES</v>
      </c>
      <c r="BW73" s="696">
        <f>+AO73</f>
        <v>20000000</v>
      </c>
      <c r="BX73" s="694"/>
      <c r="BY73" s="694"/>
      <c r="BZ73" s="707">
        <f t="shared" si="127"/>
        <v>0</v>
      </c>
      <c r="CA73" s="707">
        <f>+(BY73/BW73)</f>
        <v>0</v>
      </c>
      <c r="CB73" s="707">
        <f t="shared" si="128"/>
        <v>0</v>
      </c>
      <c r="CC73" s="707">
        <f>+(BE73+AU73+BO73+BY73)/AO73</f>
        <v>0</v>
      </c>
      <c r="CD73" s="707"/>
      <c r="CE73" s="699" t="str">
        <f t="shared" si="129"/>
        <v>No Prog ni Ejec</v>
      </c>
      <c r="CF73" s="699" t="str">
        <f>IF(AND(AS73=0,AU73=0),"No Prog ni Ejec",IF(AS73=0,CONCATENATE("No Prog, Ejec=  ",AU73),AU73/AS73))</f>
        <v>No Prog ni Ejec</v>
      </c>
      <c r="CG73" s="699" t="str">
        <f t="shared" si="130"/>
        <v>No Prog ni Ejec</v>
      </c>
      <c r="CH73" s="699" t="str">
        <f>IF(AND(BC73=0,BE73=0),"No Prog ni Ejec",IF(BC73=0,CONCATENATE("No Prog, Ejec=  ",BE73),BE73/BC73))</f>
        <v>No Prog ni Ejec</v>
      </c>
      <c r="CI73" s="699" t="str">
        <f t="shared" si="131"/>
        <v>No Prog ni Ejec</v>
      </c>
      <c r="CJ73" s="699" t="str">
        <f>IF(AND(BM73=0,BO73=0),"No Prog ni Ejec",IF(BM73=0,CONCATENATE("No Prog, Ejec=  ",BO73),BO73/BM73))</f>
        <v>No Prog ni Ejec</v>
      </c>
      <c r="CK73" s="699">
        <f t="shared" si="132"/>
        <v>0</v>
      </c>
      <c r="CL73" s="879">
        <f>IF(AND(BW73=0,BY73=0),"No Prog ni Ejec",IF(BW73=0,CONCATENATE("No Prog, Ejec=  ",BY73),BY73/BW73))</f>
        <v>0</v>
      </c>
      <c r="CM73" s="613">
        <f t="shared" si="133"/>
        <v>0</v>
      </c>
      <c r="CR73" s="70"/>
      <c r="CS73" s="70"/>
      <c r="CT73" s="70"/>
      <c r="CU73" s="70"/>
      <c r="CV73" s="70"/>
      <c r="CW73" s="70"/>
      <c r="CX73" s="70"/>
      <c r="CY73" s="70">
        <v>8</v>
      </c>
      <c r="CZ73" s="70"/>
      <c r="DA73" s="70"/>
      <c r="DB73" s="70">
        <v>11</v>
      </c>
      <c r="DC73" s="70"/>
    </row>
    <row r="74" spans="1:107" s="70" customFormat="1" ht="98.25" hidden="1" customHeight="1" x14ac:dyDescent="0.2">
      <c r="A74" s="785">
        <v>11700</v>
      </c>
      <c r="B74" s="693" t="s">
        <v>14</v>
      </c>
      <c r="C74" s="724" t="s">
        <v>507</v>
      </c>
      <c r="D74" s="724"/>
      <c r="E74" s="724"/>
      <c r="F74" s="724" t="s">
        <v>1023</v>
      </c>
      <c r="G74" s="724"/>
      <c r="H74" s="724"/>
      <c r="I74" s="724" t="s">
        <v>1023</v>
      </c>
      <c r="J74" s="724"/>
      <c r="K74" s="724"/>
      <c r="L74" s="724" t="s">
        <v>1023</v>
      </c>
      <c r="M74" s="724"/>
      <c r="N74" s="724"/>
      <c r="O74" s="724"/>
      <c r="P74" s="724"/>
      <c r="Q74" s="693" t="s">
        <v>204</v>
      </c>
      <c r="R74" s="693" t="s">
        <v>204</v>
      </c>
      <c r="S74" s="695" t="s">
        <v>238</v>
      </c>
      <c r="T74" s="693" t="s">
        <v>94</v>
      </c>
      <c r="U74" s="693" t="s">
        <v>204</v>
      </c>
      <c r="V74" s="693" t="s">
        <v>204</v>
      </c>
      <c r="W74" s="695" t="s">
        <v>778</v>
      </c>
      <c r="X74" s="693" t="s">
        <v>754</v>
      </c>
      <c r="Y74" s="60" t="s">
        <v>408</v>
      </c>
      <c r="Z74" s="66">
        <v>2</v>
      </c>
      <c r="AA74" s="695" t="s">
        <v>775</v>
      </c>
      <c r="AB74" s="702" t="s">
        <v>1569</v>
      </c>
      <c r="AC74" s="644">
        <v>26000000</v>
      </c>
      <c r="AD74" s="706">
        <v>1</v>
      </c>
      <c r="AE74" s="693" t="s">
        <v>16</v>
      </c>
      <c r="AF74" s="693" t="s">
        <v>21</v>
      </c>
      <c r="AG74" s="693" t="s">
        <v>204</v>
      </c>
      <c r="AH74" s="693" t="s">
        <v>638</v>
      </c>
      <c r="AI74" s="693" t="s">
        <v>77</v>
      </c>
      <c r="AJ74" s="693" t="s">
        <v>1298</v>
      </c>
      <c r="AK74" s="693" t="s">
        <v>508</v>
      </c>
      <c r="AL74" s="693" t="s">
        <v>43</v>
      </c>
      <c r="AM74" s="73">
        <v>2</v>
      </c>
      <c r="AN74" s="693" t="str">
        <f>+AB74</f>
        <v>Realizar estudios de iluminación, ruido y temperatura con el fin de valorar el riesgo a los cuales están expuestos los servidores públicos que laboran en ADRES y establecer los controles necesarios.</v>
      </c>
      <c r="AO74" s="703">
        <f t="shared" si="134"/>
        <v>26000000</v>
      </c>
      <c r="AP74" s="700" t="s">
        <v>46</v>
      </c>
      <c r="AQ74" s="73">
        <v>0</v>
      </c>
      <c r="AR74" s="693" t="str">
        <f t="shared" si="117"/>
        <v>Realizar estudios de iluminación, ruido y temperatura con el fin de valorar el riesgo a los cuales están expuestos los servidores públicos que laboran en ADRES y establecer los controles necesarios.</v>
      </c>
      <c r="AS74" s="722">
        <v>0</v>
      </c>
      <c r="AT74" s="695">
        <v>0</v>
      </c>
      <c r="AU74" s="691">
        <v>0</v>
      </c>
      <c r="AV74" s="690" t="e">
        <f t="shared" si="118"/>
        <v>#DIV/0!</v>
      </c>
      <c r="AW74" s="690" t="e">
        <f>+(AU74/AS74)</f>
        <v>#DIV/0!</v>
      </c>
      <c r="AX74" s="690">
        <f t="shared" si="119"/>
        <v>0</v>
      </c>
      <c r="AY74" s="690">
        <f>+(AU74/AO74)</f>
        <v>0</v>
      </c>
      <c r="AZ74" s="524" t="s">
        <v>1343</v>
      </c>
      <c r="BA74" s="73">
        <v>0</v>
      </c>
      <c r="BB74" s="693" t="str">
        <f t="shared" si="120"/>
        <v>Realizar estudios de iluminación, ruido y temperatura con el fin de valorar el riesgo a los cuales están expuestos los servidores públicos que laboran en ADRES y establecer los controles necesarios.</v>
      </c>
      <c r="BC74" s="691">
        <v>0</v>
      </c>
      <c r="BD74" s="716">
        <v>0</v>
      </c>
      <c r="BE74" s="691">
        <v>0</v>
      </c>
      <c r="BF74" s="690" t="e">
        <f t="shared" si="121"/>
        <v>#DIV/0!</v>
      </c>
      <c r="BG74" s="690" t="e">
        <f>+(BE74/BC74)</f>
        <v>#DIV/0!</v>
      </c>
      <c r="BH74" s="690">
        <f t="shared" si="122"/>
        <v>0</v>
      </c>
      <c r="BI74" s="690">
        <f>+(BE74+AU74)/AO74</f>
        <v>0</v>
      </c>
      <c r="BJ74" s="516" t="s">
        <v>1658</v>
      </c>
      <c r="BK74" s="73">
        <v>2</v>
      </c>
      <c r="BL74" s="693" t="str">
        <f t="shared" si="123"/>
        <v>Realizar estudios de iluminación, ruido y temperatura con el fin de valorar el riesgo a los cuales están expuestos los servidores públicos que laboran en ADRES y establecer los controles necesarios.</v>
      </c>
      <c r="BM74" s="691">
        <f>+AO74</f>
        <v>26000000</v>
      </c>
      <c r="BN74" s="695"/>
      <c r="BO74" s="695"/>
      <c r="BP74" s="690">
        <f t="shared" si="124"/>
        <v>0</v>
      </c>
      <c r="BQ74" s="690">
        <f>+(BO74/BM74)</f>
        <v>0</v>
      </c>
      <c r="BR74" s="690">
        <f t="shared" si="125"/>
        <v>0</v>
      </c>
      <c r="BS74" s="690">
        <f>+(BE74+AU74+BO74)/AO74</f>
        <v>0</v>
      </c>
      <c r="BT74" s="690"/>
      <c r="BU74" s="66">
        <v>0</v>
      </c>
      <c r="BV74" s="693" t="str">
        <f t="shared" si="126"/>
        <v>Realizar estudios de iluminación, ruido y temperatura con el fin de valorar el riesgo a los cuales están expuestos los servidores públicos que laboran en ADRES y establecer los controles necesarios.</v>
      </c>
      <c r="BW74" s="691">
        <v>0</v>
      </c>
      <c r="BX74" s="695"/>
      <c r="BY74" s="695"/>
      <c r="BZ74" s="698" t="e">
        <f t="shared" si="127"/>
        <v>#DIV/0!</v>
      </c>
      <c r="CA74" s="698" t="e">
        <f>+(BY74/BW74)</f>
        <v>#DIV/0!</v>
      </c>
      <c r="CB74" s="698">
        <f t="shared" si="128"/>
        <v>0</v>
      </c>
      <c r="CC74" s="698">
        <f>+(BE74+AU74+BO74+BY74)/AO74</f>
        <v>0</v>
      </c>
      <c r="CD74" s="698"/>
      <c r="CE74" s="697" t="str">
        <f t="shared" si="129"/>
        <v>No Prog ni Ejec</v>
      </c>
      <c r="CF74" s="697" t="str">
        <f>IF(AND(AS74=0,AU74=0),"No Prog ni Ejec",IF(AS74=0,CONCATENATE("No Prog, Ejec=  ",AU74),AU74/AS74))</f>
        <v>No Prog ni Ejec</v>
      </c>
      <c r="CG74" s="697" t="str">
        <f t="shared" si="130"/>
        <v>No Prog ni Ejec</v>
      </c>
      <c r="CH74" s="697" t="str">
        <f>IF(AND(BC74=0,BE74=0),"No Prog ni Ejec",IF(BC74=0,CONCATENATE("No Prog, Ejec=  ",BE74),BE74/BC74))</f>
        <v>No Prog ni Ejec</v>
      </c>
      <c r="CI74" s="697">
        <f t="shared" si="131"/>
        <v>0</v>
      </c>
      <c r="CJ74" s="697">
        <f>IF(AND(BM74=0,BO74=0),"No Prog ni Ejec",IF(BM74=0,CONCATENATE("No Prog, Ejec=  ",BO74),BO74/BM74))</f>
        <v>0</v>
      </c>
      <c r="CK74" s="697" t="str">
        <f t="shared" si="132"/>
        <v>No Prog ni Ejec</v>
      </c>
      <c r="CL74" s="786" t="str">
        <f>IF(AND(BW74=0,BY74=0),"No Prog ni Ejec",IF(BW74=0,CONCATENATE("No Prog, Ejec=  ",BY74),BY74/BW74))</f>
        <v>No Prog ni Ejec</v>
      </c>
      <c r="CM74" s="136">
        <f t="shared" si="133"/>
        <v>0</v>
      </c>
      <c r="CY74" s="70">
        <v>8</v>
      </c>
      <c r="DB74" s="70">
        <v>11</v>
      </c>
    </row>
    <row r="75" spans="1:107" s="70" customFormat="1" ht="110.25" hidden="1" customHeight="1" x14ac:dyDescent="0.2">
      <c r="A75" s="785">
        <v>11700</v>
      </c>
      <c r="B75" s="693" t="s">
        <v>14</v>
      </c>
      <c r="C75" s="724" t="s">
        <v>507</v>
      </c>
      <c r="D75" s="724"/>
      <c r="E75" s="724"/>
      <c r="F75" s="724" t="s">
        <v>1023</v>
      </c>
      <c r="G75" s="724"/>
      <c r="H75" s="724"/>
      <c r="I75" s="724" t="s">
        <v>1023</v>
      </c>
      <c r="J75" s="724"/>
      <c r="K75" s="724"/>
      <c r="L75" s="724" t="s">
        <v>1023</v>
      </c>
      <c r="M75" s="724"/>
      <c r="N75" s="724"/>
      <c r="O75" s="724"/>
      <c r="P75" s="724"/>
      <c r="Q75" s="693" t="s">
        <v>204</v>
      </c>
      <c r="R75" s="693" t="s">
        <v>204</v>
      </c>
      <c r="S75" s="695" t="s">
        <v>238</v>
      </c>
      <c r="T75" s="693" t="s">
        <v>94</v>
      </c>
      <c r="U75" s="693" t="s">
        <v>204</v>
      </c>
      <c r="V75" s="693" t="s">
        <v>204</v>
      </c>
      <c r="W75" s="695" t="s">
        <v>779</v>
      </c>
      <c r="X75" s="693" t="s">
        <v>505</v>
      </c>
      <c r="Y75" s="716" t="s">
        <v>51</v>
      </c>
      <c r="Z75" s="698">
        <v>1</v>
      </c>
      <c r="AA75" s="695" t="s">
        <v>776</v>
      </c>
      <c r="AB75" s="724" t="s">
        <v>755</v>
      </c>
      <c r="AC75" s="720">
        <v>40000000</v>
      </c>
      <c r="AD75" s="706">
        <v>1</v>
      </c>
      <c r="AE75" s="693" t="s">
        <v>16</v>
      </c>
      <c r="AF75" s="693" t="s">
        <v>21</v>
      </c>
      <c r="AG75" s="693" t="s">
        <v>204</v>
      </c>
      <c r="AH75" s="693" t="s">
        <v>638</v>
      </c>
      <c r="AI75" s="693" t="s">
        <v>77</v>
      </c>
      <c r="AJ75" s="693" t="s">
        <v>1298</v>
      </c>
      <c r="AK75" s="693" t="s">
        <v>506</v>
      </c>
      <c r="AL75" s="693" t="s">
        <v>43</v>
      </c>
      <c r="AM75" s="726">
        <v>1</v>
      </c>
      <c r="AN75" s="693" t="str">
        <f>+AB75</f>
        <v>Poner a disposición de los funcionarios de la ADRES, elementos ergonómicos</v>
      </c>
      <c r="AO75" s="703">
        <f t="shared" si="134"/>
        <v>40000000</v>
      </c>
      <c r="AP75" s="700" t="s">
        <v>46</v>
      </c>
      <c r="AQ75" s="127">
        <v>0</v>
      </c>
      <c r="AR75" s="693" t="str">
        <f t="shared" si="117"/>
        <v>Poner a disposición de los funcionarios de la ADRES, elementos ergonómicos</v>
      </c>
      <c r="AS75" s="722">
        <v>0</v>
      </c>
      <c r="AT75" s="706">
        <v>0</v>
      </c>
      <c r="AU75" s="691">
        <v>0</v>
      </c>
      <c r="AV75" s="690" t="e">
        <f t="shared" si="118"/>
        <v>#DIV/0!</v>
      </c>
      <c r="AW75" s="690" t="e">
        <f>+(AU75/AS75)</f>
        <v>#DIV/0!</v>
      </c>
      <c r="AX75" s="690">
        <f t="shared" si="119"/>
        <v>0</v>
      </c>
      <c r="AY75" s="690">
        <f>+(AU75/AO75)</f>
        <v>0</v>
      </c>
      <c r="AZ75" s="524" t="s">
        <v>1343</v>
      </c>
      <c r="BA75" s="127">
        <v>0</v>
      </c>
      <c r="BB75" s="693" t="str">
        <f t="shared" si="120"/>
        <v>Poner a disposición de los funcionarios de la ADRES, elementos ergonómicos</v>
      </c>
      <c r="BC75" s="691">
        <v>0</v>
      </c>
      <c r="BD75" s="716">
        <v>0</v>
      </c>
      <c r="BE75" s="691">
        <v>0</v>
      </c>
      <c r="BF75" s="690" t="e">
        <f t="shared" si="121"/>
        <v>#DIV/0!</v>
      </c>
      <c r="BG75" s="690" t="e">
        <f>+(BE75/BC75)</f>
        <v>#DIV/0!</v>
      </c>
      <c r="BH75" s="690">
        <f t="shared" si="122"/>
        <v>0</v>
      </c>
      <c r="BI75" s="690">
        <f>+(BE75+AU75)/AO75</f>
        <v>0</v>
      </c>
      <c r="BJ75" s="512" t="s">
        <v>1388</v>
      </c>
      <c r="BK75" s="706">
        <v>0</v>
      </c>
      <c r="BL75" s="693" t="str">
        <f t="shared" si="123"/>
        <v>Poner a disposición de los funcionarios de la ADRES, elementos ergonómicos</v>
      </c>
      <c r="BM75" s="691">
        <v>0</v>
      </c>
      <c r="BN75" s="695"/>
      <c r="BO75" s="695"/>
      <c r="BP75" s="690" t="e">
        <f t="shared" si="124"/>
        <v>#DIV/0!</v>
      </c>
      <c r="BQ75" s="690" t="e">
        <f>+(BO75/BM75)</f>
        <v>#DIV/0!</v>
      </c>
      <c r="BR75" s="690">
        <f t="shared" si="125"/>
        <v>0</v>
      </c>
      <c r="BS75" s="690">
        <f>+(BE75+AU75+BO75)/AO75</f>
        <v>0</v>
      </c>
      <c r="BT75" s="706"/>
      <c r="BU75" s="706">
        <v>1</v>
      </c>
      <c r="BV75" s="693" t="str">
        <f t="shared" si="126"/>
        <v>Poner a disposición de los funcionarios de la ADRES, elementos ergonómicos</v>
      </c>
      <c r="BW75" s="691">
        <f>+AO75</f>
        <v>40000000</v>
      </c>
      <c r="BX75" s="695"/>
      <c r="BY75" s="695"/>
      <c r="BZ75" s="698">
        <f t="shared" si="127"/>
        <v>0</v>
      </c>
      <c r="CA75" s="698">
        <f>+(BY75/BW75)</f>
        <v>0</v>
      </c>
      <c r="CB75" s="698">
        <f t="shared" si="128"/>
        <v>0</v>
      </c>
      <c r="CC75" s="698">
        <f>+(BE75+AU75+BO75+BY75)/AO75</f>
        <v>0</v>
      </c>
      <c r="CD75" s="698"/>
      <c r="CE75" s="697" t="str">
        <f t="shared" si="129"/>
        <v>No Prog ni Ejec</v>
      </c>
      <c r="CF75" s="697" t="str">
        <f>IF(AND(AS75=0,AU75=0),"No Prog ni Ejec",IF(AS75=0,CONCATENATE("No Prog, Ejec=  ",AU75),AU75/AS75))</f>
        <v>No Prog ni Ejec</v>
      </c>
      <c r="CG75" s="697" t="str">
        <f t="shared" si="130"/>
        <v>No Prog ni Ejec</v>
      </c>
      <c r="CH75" s="697" t="str">
        <f>IF(AND(BC75=0,BE75=0),"No Prog ni Ejec",IF(BC75=0,CONCATENATE("No Prog, Ejec=  ",BE75),BE75/BC75))</f>
        <v>No Prog ni Ejec</v>
      </c>
      <c r="CI75" s="697" t="str">
        <f t="shared" si="131"/>
        <v>No Prog ni Ejec</v>
      </c>
      <c r="CJ75" s="697" t="str">
        <f>IF(AND(BM75=0,BO75=0),"No Prog ni Ejec",IF(BM75=0,CONCATENATE("No Prog, Ejec=  ",BO75),BO75/BM75))</f>
        <v>No Prog ni Ejec</v>
      </c>
      <c r="CK75" s="697">
        <f t="shared" si="132"/>
        <v>0</v>
      </c>
      <c r="CL75" s="786">
        <f>IF(AND(BW75=0,BY75=0),"No Prog ni Ejec",IF(BW75=0,CONCATENATE("No Prog, Ejec=  ",BY75),BY75/BW75))</f>
        <v>0</v>
      </c>
      <c r="CM75" s="136">
        <f t="shared" si="133"/>
        <v>0</v>
      </c>
      <c r="CY75" s="70">
        <v>8</v>
      </c>
      <c r="DB75" s="70">
        <v>11</v>
      </c>
    </row>
    <row r="76" spans="1:107" s="70" customFormat="1" ht="105.75" hidden="1" customHeight="1" x14ac:dyDescent="0.2">
      <c r="A76" s="785">
        <v>11700</v>
      </c>
      <c r="B76" s="693" t="s">
        <v>14</v>
      </c>
      <c r="C76" s="724" t="s">
        <v>502</v>
      </c>
      <c r="D76" s="724"/>
      <c r="E76" s="724"/>
      <c r="F76" s="724" t="s">
        <v>1023</v>
      </c>
      <c r="G76" s="724" t="s">
        <v>1023</v>
      </c>
      <c r="H76" s="724"/>
      <c r="I76" s="724"/>
      <c r="J76" s="724"/>
      <c r="K76" s="724"/>
      <c r="L76" s="724" t="s">
        <v>1023</v>
      </c>
      <c r="M76" s="724"/>
      <c r="N76" s="724"/>
      <c r="O76" s="724"/>
      <c r="P76" s="724"/>
      <c r="Q76" s="693" t="s">
        <v>204</v>
      </c>
      <c r="R76" s="693" t="s">
        <v>204</v>
      </c>
      <c r="S76" s="695" t="s">
        <v>238</v>
      </c>
      <c r="T76" s="693" t="s">
        <v>94</v>
      </c>
      <c r="U76" s="693" t="s">
        <v>204</v>
      </c>
      <c r="V76" s="693" t="s">
        <v>204</v>
      </c>
      <c r="W76" s="695" t="s">
        <v>799</v>
      </c>
      <c r="X76" s="693" t="s">
        <v>756</v>
      </c>
      <c r="Y76" s="60" t="s">
        <v>408</v>
      </c>
      <c r="Z76" s="715">
        <v>1</v>
      </c>
      <c r="AA76" s="695" t="s">
        <v>789</v>
      </c>
      <c r="AB76" s="693" t="s">
        <v>780</v>
      </c>
      <c r="AC76" s="647">
        <v>0</v>
      </c>
      <c r="AD76" s="706">
        <v>1</v>
      </c>
      <c r="AE76" s="693" t="s">
        <v>16</v>
      </c>
      <c r="AF76" s="693" t="s">
        <v>21</v>
      </c>
      <c r="AG76" s="693" t="s">
        <v>204</v>
      </c>
      <c r="AH76" s="693" t="s">
        <v>638</v>
      </c>
      <c r="AI76" s="693" t="s">
        <v>77</v>
      </c>
      <c r="AJ76" s="693" t="s">
        <v>1299</v>
      </c>
      <c r="AK76" s="693" t="s">
        <v>786</v>
      </c>
      <c r="AL76" s="693" t="s">
        <v>43</v>
      </c>
      <c r="AM76" s="715">
        <v>1</v>
      </c>
      <c r="AN76" s="693" t="str">
        <f t="shared" ref="AN76:AN77" si="135">+AB76</f>
        <v>Actualizar a los funcionarios en la normatividad vigente, referente a las reglas de cada subsistema y sus interrelaciones en el sistema de seguridad social, para dar cumplimiento a la misión de la entidad</v>
      </c>
      <c r="AO76" s="703">
        <f t="shared" si="134"/>
        <v>0</v>
      </c>
      <c r="AP76" s="700" t="s">
        <v>46</v>
      </c>
      <c r="AQ76" s="715">
        <v>0</v>
      </c>
      <c r="AR76" s="693" t="str">
        <f t="shared" si="117"/>
        <v>Actualizar a los funcionarios en la normatividad vigente, referente a las reglas de cada subsistema y sus interrelaciones en el sistema de seguridad social, para dar cumplimiento a la misión de la entidad</v>
      </c>
      <c r="AS76" s="720">
        <v>0</v>
      </c>
      <c r="AT76" s="695">
        <v>0</v>
      </c>
      <c r="AU76" s="691">
        <v>0</v>
      </c>
      <c r="AV76" s="690" t="e">
        <f t="shared" si="118"/>
        <v>#DIV/0!</v>
      </c>
      <c r="AW76" s="690" t="e">
        <f>+(AU76/AS76)</f>
        <v>#DIV/0!</v>
      </c>
      <c r="AX76" s="690">
        <f t="shared" si="119"/>
        <v>0</v>
      </c>
      <c r="AY76" s="690" t="e">
        <f>+(AU76/AO76)</f>
        <v>#DIV/0!</v>
      </c>
      <c r="AZ76" s="524" t="s">
        <v>1343</v>
      </c>
      <c r="BA76" s="164">
        <v>1</v>
      </c>
      <c r="BB76" s="693" t="str">
        <f t="shared" si="120"/>
        <v>Actualizar a los funcionarios en la normatividad vigente, referente a las reglas de cada subsistema y sus interrelaciones en el sistema de seguridad social, para dar cumplimiento a la misión de la entidad</v>
      </c>
      <c r="BC76" s="691">
        <f>+AO76</f>
        <v>0</v>
      </c>
      <c r="BD76" s="716">
        <v>0</v>
      </c>
      <c r="BE76" s="691">
        <v>0</v>
      </c>
      <c r="BF76" s="690">
        <f t="shared" si="121"/>
        <v>0</v>
      </c>
      <c r="BG76" s="690" t="e">
        <f>+(BE76/BC76)</f>
        <v>#DIV/0!</v>
      </c>
      <c r="BH76" s="690">
        <f t="shared" si="122"/>
        <v>0</v>
      </c>
      <c r="BI76" s="690" t="e">
        <f>+(BE76+AU76)/AO76</f>
        <v>#DIV/0!</v>
      </c>
      <c r="BJ76" s="516" t="s">
        <v>1659</v>
      </c>
      <c r="BK76" s="164">
        <v>0</v>
      </c>
      <c r="BL76" s="693" t="str">
        <f t="shared" si="123"/>
        <v>Actualizar a los funcionarios en la normatividad vigente, referente a las reglas de cada subsistema y sus interrelaciones en el sistema de seguridad social, para dar cumplimiento a la misión de la entidad</v>
      </c>
      <c r="BM76" s="691">
        <v>0</v>
      </c>
      <c r="BN76" s="695"/>
      <c r="BO76" s="695"/>
      <c r="BP76" s="690" t="e">
        <f t="shared" si="124"/>
        <v>#DIV/0!</v>
      </c>
      <c r="BQ76" s="690" t="e">
        <f>+(BO76/BM76)</f>
        <v>#DIV/0!</v>
      </c>
      <c r="BR76" s="690">
        <f t="shared" si="125"/>
        <v>0</v>
      </c>
      <c r="BS76" s="690" t="e">
        <f>+(BE76+AU76+BO76)/AO76</f>
        <v>#DIV/0!</v>
      </c>
      <c r="BT76" s="690"/>
      <c r="BU76" s="164">
        <v>0</v>
      </c>
      <c r="BV76" s="693" t="str">
        <f t="shared" si="126"/>
        <v>Actualizar a los funcionarios en la normatividad vigente, referente a las reglas de cada subsistema y sus interrelaciones en el sistema de seguridad social, para dar cumplimiento a la misión de la entidad</v>
      </c>
      <c r="BW76" s="691">
        <v>0</v>
      </c>
      <c r="BX76" s="695"/>
      <c r="BY76" s="695"/>
      <c r="BZ76" s="698" t="e">
        <f t="shared" si="127"/>
        <v>#DIV/0!</v>
      </c>
      <c r="CA76" s="698" t="e">
        <f>+(BY76/BW76)</f>
        <v>#DIV/0!</v>
      </c>
      <c r="CB76" s="698">
        <f t="shared" si="128"/>
        <v>0</v>
      </c>
      <c r="CC76" s="698" t="e">
        <f>+(BE76+AU76+BO76+BY76)/AO76</f>
        <v>#DIV/0!</v>
      </c>
      <c r="CD76" s="698"/>
      <c r="CE76" s="697" t="str">
        <f t="shared" si="129"/>
        <v>No Prog ni Ejec</v>
      </c>
      <c r="CF76" s="697" t="str">
        <f>IF(AND(AS76=0,AU76=0),"No Prog ni Ejec",IF(AS76=0,CONCATENATE("No Prog, Ejec=  ",AU76),AU76/AS76))</f>
        <v>No Prog ni Ejec</v>
      </c>
      <c r="CG76" s="697">
        <f t="shared" si="130"/>
        <v>0</v>
      </c>
      <c r="CH76" s="697" t="str">
        <f>IF(AND(BC76=0,BE76=0),"No Prog ni Ejec",IF(BC76=0,CONCATENATE("No Prog, Ejec=  ",BE76),BE76/BC76))</f>
        <v>No Prog ni Ejec</v>
      </c>
      <c r="CI76" s="697" t="str">
        <f t="shared" si="131"/>
        <v>No Prog ni Ejec</v>
      </c>
      <c r="CJ76" s="697" t="str">
        <f>IF(AND(BM76=0,BO76=0),"No Prog ni Ejec",IF(BM76=0,CONCATENATE("No Prog, Ejec=  ",BO76),BO76/BM76))</f>
        <v>No Prog ni Ejec</v>
      </c>
      <c r="CK76" s="697" t="str">
        <f t="shared" si="132"/>
        <v>No Prog ni Ejec</v>
      </c>
      <c r="CL76" s="786" t="str">
        <f>IF(AND(BW76=0,BY76=0),"No Prog ni Ejec",IF(BW76=0,CONCATENATE("No Prog, Ejec=  ",BY76),BY76/BW76))</f>
        <v>No Prog ni Ejec</v>
      </c>
      <c r="CM76" s="136">
        <f t="shared" si="133"/>
        <v>0</v>
      </c>
      <c r="CU76" s="70">
        <v>4</v>
      </c>
    </row>
    <row r="77" spans="1:107" s="70" customFormat="1" ht="112.5" hidden="1" customHeight="1" x14ac:dyDescent="0.2">
      <c r="A77" s="785">
        <v>11700</v>
      </c>
      <c r="B77" s="693" t="s">
        <v>14</v>
      </c>
      <c r="C77" s="724" t="s">
        <v>502</v>
      </c>
      <c r="D77" s="724"/>
      <c r="E77" s="724"/>
      <c r="F77" s="724" t="s">
        <v>1023</v>
      </c>
      <c r="G77" s="724" t="s">
        <v>1023</v>
      </c>
      <c r="H77" s="724"/>
      <c r="I77" s="724"/>
      <c r="J77" s="724"/>
      <c r="K77" s="724"/>
      <c r="L77" s="724" t="s">
        <v>1023</v>
      </c>
      <c r="M77" s="724"/>
      <c r="N77" s="724"/>
      <c r="O77" s="724"/>
      <c r="P77" s="724"/>
      <c r="Q77" s="693" t="s">
        <v>204</v>
      </c>
      <c r="R77" s="693" t="s">
        <v>204</v>
      </c>
      <c r="S77" s="695" t="s">
        <v>238</v>
      </c>
      <c r="T77" s="693" t="s">
        <v>94</v>
      </c>
      <c r="U77" s="693" t="s">
        <v>204</v>
      </c>
      <c r="V77" s="693" t="s">
        <v>204</v>
      </c>
      <c r="W77" s="695" t="s">
        <v>800</v>
      </c>
      <c r="X77" s="693" t="s">
        <v>757</v>
      </c>
      <c r="Y77" s="60" t="s">
        <v>408</v>
      </c>
      <c r="Z77" s="715">
        <v>1</v>
      </c>
      <c r="AA77" s="695" t="s">
        <v>790</v>
      </c>
      <c r="AB77" s="693" t="s">
        <v>781</v>
      </c>
      <c r="AC77" s="647">
        <v>0</v>
      </c>
      <c r="AD77" s="706">
        <v>1</v>
      </c>
      <c r="AE77" s="693" t="s">
        <v>16</v>
      </c>
      <c r="AF77" s="693" t="s">
        <v>21</v>
      </c>
      <c r="AG77" s="693" t="s">
        <v>204</v>
      </c>
      <c r="AH77" s="693" t="s">
        <v>638</v>
      </c>
      <c r="AI77" s="693" t="s">
        <v>77</v>
      </c>
      <c r="AJ77" s="693" t="s">
        <v>1299</v>
      </c>
      <c r="AK77" s="693" t="s">
        <v>786</v>
      </c>
      <c r="AL77" s="693" t="s">
        <v>43</v>
      </c>
      <c r="AM77" s="715">
        <v>1</v>
      </c>
      <c r="AN77" s="693" t="str">
        <f t="shared" si="135"/>
        <v>Fortalecer los conocimientos de los funcionarios referente a los beneficios  económicos y legales al ser servidores públicos.</v>
      </c>
      <c r="AO77" s="703">
        <f t="shared" si="134"/>
        <v>0</v>
      </c>
      <c r="AP77" s="700" t="s">
        <v>46</v>
      </c>
      <c r="AQ77" s="715">
        <v>0</v>
      </c>
      <c r="AR77" s="693" t="str">
        <f t="shared" ref="AR77:AR92" si="136">+AN77</f>
        <v>Fortalecer los conocimientos de los funcionarios referente a los beneficios  económicos y legales al ser servidores públicos.</v>
      </c>
      <c r="AS77" s="720">
        <v>0</v>
      </c>
      <c r="AT77" s="695">
        <v>0</v>
      </c>
      <c r="AU77" s="691">
        <v>0</v>
      </c>
      <c r="AV77" s="690" t="e">
        <f t="shared" ref="AV77:AV93" si="137">+(AT77/AQ77)</f>
        <v>#DIV/0!</v>
      </c>
      <c r="AW77" s="690" t="e">
        <f t="shared" ref="AW77:AW93" si="138">+(AU77/AS77)</f>
        <v>#DIV/0!</v>
      </c>
      <c r="AX77" s="690">
        <f t="shared" ref="AX77:AX93" si="139">+(AT77/AM77)</f>
        <v>0</v>
      </c>
      <c r="AY77" s="690" t="e">
        <f t="shared" ref="AY77:AY93" si="140">+(AU77/AO77)</f>
        <v>#DIV/0!</v>
      </c>
      <c r="AZ77" s="524" t="s">
        <v>1343</v>
      </c>
      <c r="BA77" s="164">
        <v>0</v>
      </c>
      <c r="BB77" s="693" t="str">
        <f t="shared" ref="BB77:BB92" si="141">+AN77</f>
        <v>Fortalecer los conocimientos de los funcionarios referente a los beneficios  económicos y legales al ser servidores públicos.</v>
      </c>
      <c r="BC77" s="691">
        <v>0</v>
      </c>
      <c r="BD77" s="716">
        <v>0</v>
      </c>
      <c r="BE77" s="691">
        <v>0</v>
      </c>
      <c r="BF77" s="690" t="e">
        <f t="shared" ref="BF77:BF93" si="142">+(BD77/BA77)</f>
        <v>#DIV/0!</v>
      </c>
      <c r="BG77" s="690" t="e">
        <f t="shared" ref="BG77:BG93" si="143">+(BE77/BC77)</f>
        <v>#DIV/0!</v>
      </c>
      <c r="BH77" s="690">
        <f t="shared" ref="BH77:BH93" si="144">+(BD77+AT77)/AM77</f>
        <v>0</v>
      </c>
      <c r="BI77" s="690" t="e">
        <f t="shared" ref="BI77:BI93" si="145">+(BE77+AU77)/AO77</f>
        <v>#DIV/0!</v>
      </c>
      <c r="BJ77" s="512" t="s">
        <v>1388</v>
      </c>
      <c r="BK77" s="164">
        <v>1</v>
      </c>
      <c r="BL77" s="693" t="str">
        <f t="shared" ref="BL77:BL92" si="146">+AN77</f>
        <v>Fortalecer los conocimientos de los funcionarios referente a los beneficios  económicos y legales al ser servidores públicos.</v>
      </c>
      <c r="BM77" s="691">
        <f>+AO77</f>
        <v>0</v>
      </c>
      <c r="BN77" s="695"/>
      <c r="BO77" s="695"/>
      <c r="BP77" s="690">
        <f t="shared" ref="BP77:BP93" si="147">+(BN77/BK77)</f>
        <v>0</v>
      </c>
      <c r="BQ77" s="690" t="e">
        <f t="shared" ref="BQ77:BQ93" si="148">+(BO77/BM77)</f>
        <v>#DIV/0!</v>
      </c>
      <c r="BR77" s="690">
        <f t="shared" ref="BR77:BR93" si="149">+(BD77+AT77+BN77)/AM77</f>
        <v>0</v>
      </c>
      <c r="BS77" s="690" t="e">
        <f t="shared" ref="BS77:BS93" si="150">+(BE77+AU77+BO77)/AO77</f>
        <v>#DIV/0!</v>
      </c>
      <c r="BT77" s="690"/>
      <c r="BU77" s="164">
        <v>0</v>
      </c>
      <c r="BV77" s="693" t="str">
        <f t="shared" ref="BV77:BV92" si="151">+AN77</f>
        <v>Fortalecer los conocimientos de los funcionarios referente a los beneficios  económicos y legales al ser servidores públicos.</v>
      </c>
      <c r="BW77" s="691">
        <v>0</v>
      </c>
      <c r="BX77" s="695"/>
      <c r="BY77" s="695"/>
      <c r="BZ77" s="698" t="e">
        <f t="shared" ref="BZ77:BZ93" si="152">+(BX77/BU77)</f>
        <v>#DIV/0!</v>
      </c>
      <c r="CA77" s="698" t="e">
        <f t="shared" ref="CA77:CA93" si="153">+(BY77/BW77)</f>
        <v>#DIV/0!</v>
      </c>
      <c r="CB77" s="698">
        <f t="shared" ref="CB77:CB93" si="154">+(BD77+AT77+BN77+BX77)/AM77</f>
        <v>0</v>
      </c>
      <c r="CC77" s="698" t="e">
        <f t="shared" ref="CC77:CC93" si="155">+(BE77+AU77+BO77+BY77)/AO77</f>
        <v>#DIV/0!</v>
      </c>
      <c r="CD77" s="698"/>
      <c r="CE77" s="697" t="str">
        <f t="shared" ref="CE77:CE117" si="156">IF(AND(AQ77=0,AT77=0),"No Prog ni Ejec",IF(AQ77=0,CONCATENATE("No Prog, Ejec=  ",AT77),AT77/AQ77))</f>
        <v>No Prog ni Ejec</v>
      </c>
      <c r="CF77" s="697" t="str">
        <f t="shared" ref="CF77:CF117" si="157">IF(AND(AS77=0,AU77=0),"No Prog ni Ejec",IF(AS77=0,CONCATENATE("No Prog, Ejec=  ",AU77),AU77/AS77))</f>
        <v>No Prog ni Ejec</v>
      </c>
      <c r="CG77" s="697" t="str">
        <f t="shared" ref="CG77:CG117" si="158">IF(AND(BA77=0,BD77=0),"No Prog ni Ejec",IF(BA77=0,CONCATENATE("No Prog, Ejec=  ",BD77),BD77/BA77))</f>
        <v>No Prog ni Ejec</v>
      </c>
      <c r="CH77" s="697" t="str">
        <f t="shared" ref="CH77:CH117" si="159">IF(AND(BC77=0,BE77=0),"No Prog ni Ejec",IF(BC77=0,CONCATENATE("No Prog, Ejec=  ",BE77),BE77/BC77))</f>
        <v>No Prog ni Ejec</v>
      </c>
      <c r="CI77" s="697">
        <f t="shared" ref="CI77:CI117" si="160">IF(AND(BK77=0,BN77=0),"No Prog ni Ejec",IF(BK77=0,CONCATENATE("No Prog, Ejec=  ",BN77),BN77/BK77))</f>
        <v>0</v>
      </c>
      <c r="CJ77" s="697" t="str">
        <f t="shared" ref="CJ77:CJ117" si="161">IF(AND(BM77=0,BO77=0),"No Prog ni Ejec",IF(BM77=0,CONCATENATE("No Prog, Ejec=  ",BO77),BO77/BM77))</f>
        <v>No Prog ni Ejec</v>
      </c>
      <c r="CK77" s="697" t="str">
        <f t="shared" ref="CK77:CK117" si="162">IF(AND(BU77=0,BX77=0),"No Prog ni Ejec",IF(BU77=0,CONCATENATE("No Prog, Ejec=  ",BX77),BX77/BU77))</f>
        <v>No Prog ni Ejec</v>
      </c>
      <c r="CL77" s="786" t="str">
        <f t="shared" ref="CL77:CL117" si="163">IF(AND(BW77=0,BY77=0),"No Prog ni Ejec",IF(BW77=0,CONCATENATE("No Prog, Ejec=  ",BY77),BY77/BW77))</f>
        <v>No Prog ni Ejec</v>
      </c>
      <c r="CM77" s="136">
        <f t="shared" si="133"/>
        <v>0</v>
      </c>
      <c r="CU77" s="70">
        <v>4</v>
      </c>
    </row>
    <row r="78" spans="1:107" s="70" customFormat="1" ht="106.5" hidden="1" customHeight="1" x14ac:dyDescent="0.2">
      <c r="A78" s="785">
        <v>11700</v>
      </c>
      <c r="B78" s="693" t="s">
        <v>14</v>
      </c>
      <c r="C78" s="724" t="s">
        <v>502</v>
      </c>
      <c r="D78" s="724"/>
      <c r="E78" s="724"/>
      <c r="F78" s="724" t="s">
        <v>1023</v>
      </c>
      <c r="G78" s="724" t="s">
        <v>1023</v>
      </c>
      <c r="H78" s="724"/>
      <c r="I78" s="724"/>
      <c r="J78" s="724"/>
      <c r="K78" s="724"/>
      <c r="L78" s="724" t="s">
        <v>1023</v>
      </c>
      <c r="M78" s="724"/>
      <c r="N78" s="724"/>
      <c r="O78" s="724"/>
      <c r="P78" s="724"/>
      <c r="Q78" s="693" t="s">
        <v>204</v>
      </c>
      <c r="R78" s="693" t="s">
        <v>204</v>
      </c>
      <c r="S78" s="695" t="s">
        <v>238</v>
      </c>
      <c r="T78" s="693" t="s">
        <v>94</v>
      </c>
      <c r="U78" s="693" t="s">
        <v>204</v>
      </c>
      <c r="V78" s="693" t="s">
        <v>204</v>
      </c>
      <c r="W78" s="595" t="s">
        <v>801</v>
      </c>
      <c r="X78" s="693" t="s">
        <v>761</v>
      </c>
      <c r="Y78" s="60" t="s">
        <v>408</v>
      </c>
      <c r="Z78" s="715">
        <v>1</v>
      </c>
      <c r="AA78" s="595" t="s">
        <v>791</v>
      </c>
      <c r="AB78" s="693" t="s">
        <v>782</v>
      </c>
      <c r="AC78" s="647">
        <v>0</v>
      </c>
      <c r="AD78" s="706">
        <v>1</v>
      </c>
      <c r="AE78" s="693" t="s">
        <v>16</v>
      </c>
      <c r="AF78" s="693" t="s">
        <v>21</v>
      </c>
      <c r="AG78" s="693" t="s">
        <v>204</v>
      </c>
      <c r="AH78" s="693" t="s">
        <v>638</v>
      </c>
      <c r="AI78" s="693" t="s">
        <v>77</v>
      </c>
      <c r="AJ78" s="693" t="s">
        <v>1299</v>
      </c>
      <c r="AK78" s="693" t="s">
        <v>786</v>
      </c>
      <c r="AL78" s="693" t="s">
        <v>43</v>
      </c>
      <c r="AM78" s="715">
        <v>1</v>
      </c>
      <c r="AN78" s="693" t="str">
        <f>+AB78</f>
        <v>Lograr que los funcionarios identifiquen los lineamientos esenciales, para construir una oferta favorable, que conlleve a los resultados esperados  en cada contratación y les facilite el desarrollo de  cada proceso de la entidad</v>
      </c>
      <c r="AO78" s="703">
        <f t="shared" si="134"/>
        <v>0</v>
      </c>
      <c r="AP78" s="700" t="s">
        <v>46</v>
      </c>
      <c r="AQ78" s="715">
        <v>0</v>
      </c>
      <c r="AR78" s="693" t="str">
        <f>+AN78</f>
        <v>Lograr que los funcionarios identifiquen los lineamientos esenciales, para construir una oferta favorable, que conlleve a los resultados esperados  en cada contratación y les facilite el desarrollo de  cada proceso de la entidad</v>
      </c>
      <c r="AS78" s="720">
        <v>0</v>
      </c>
      <c r="AT78" s="695">
        <v>0</v>
      </c>
      <c r="AU78" s="691">
        <v>0</v>
      </c>
      <c r="AV78" s="690" t="e">
        <f>+(AT78/AQ78)</f>
        <v>#DIV/0!</v>
      </c>
      <c r="AW78" s="690" t="e">
        <f>+(AU78/AS78)</f>
        <v>#DIV/0!</v>
      </c>
      <c r="AX78" s="690">
        <f>+(AT78/AM78)</f>
        <v>0</v>
      </c>
      <c r="AY78" s="690" t="e">
        <f>+(AU78/AO78)</f>
        <v>#DIV/0!</v>
      </c>
      <c r="AZ78" s="524" t="s">
        <v>1343</v>
      </c>
      <c r="BA78" s="164">
        <v>0</v>
      </c>
      <c r="BB78" s="693" t="str">
        <f>+AN78</f>
        <v>Lograr que los funcionarios identifiquen los lineamientos esenciales, para construir una oferta favorable, que conlleve a los resultados esperados  en cada contratación y les facilite el desarrollo de  cada proceso de la entidad</v>
      </c>
      <c r="BC78" s="691">
        <v>0</v>
      </c>
      <c r="BD78" s="716">
        <v>0</v>
      </c>
      <c r="BE78" s="691">
        <v>0</v>
      </c>
      <c r="BF78" s="690" t="e">
        <f>+(BD78/BA78)</f>
        <v>#DIV/0!</v>
      </c>
      <c r="BG78" s="690" t="e">
        <f>+(BE78/BC78)</f>
        <v>#DIV/0!</v>
      </c>
      <c r="BH78" s="690">
        <f>+(BD78+AT78)/AM78</f>
        <v>0</v>
      </c>
      <c r="BI78" s="690" t="e">
        <f>+(BE78+AU78)/AO78</f>
        <v>#DIV/0!</v>
      </c>
      <c r="BJ78" s="512" t="s">
        <v>1388</v>
      </c>
      <c r="BK78" s="164">
        <v>1</v>
      </c>
      <c r="BL78" s="693" t="str">
        <f>+AN78</f>
        <v>Lograr que los funcionarios identifiquen los lineamientos esenciales, para construir una oferta favorable, que conlleve a los resultados esperados  en cada contratación y les facilite el desarrollo de  cada proceso de la entidad</v>
      </c>
      <c r="BM78" s="691">
        <f>+AO78</f>
        <v>0</v>
      </c>
      <c r="BN78" s="695"/>
      <c r="BO78" s="695"/>
      <c r="BP78" s="690">
        <f>+(BN78/BK78)</f>
        <v>0</v>
      </c>
      <c r="BQ78" s="690" t="e">
        <f>+(BO78/BM78)</f>
        <v>#DIV/0!</v>
      </c>
      <c r="BR78" s="690">
        <f>+(BD78+AT78+BN78)/AM78</f>
        <v>0</v>
      </c>
      <c r="BS78" s="690" t="e">
        <f>+(BE78+AU78+BO78)/AO78</f>
        <v>#DIV/0!</v>
      </c>
      <c r="BT78" s="690"/>
      <c r="BU78" s="164">
        <v>0</v>
      </c>
      <c r="BV78" s="693" t="str">
        <f>+AN78</f>
        <v>Lograr que los funcionarios identifiquen los lineamientos esenciales, para construir una oferta favorable, que conlleve a los resultados esperados  en cada contratación y les facilite el desarrollo de  cada proceso de la entidad</v>
      </c>
      <c r="BW78" s="691">
        <v>0</v>
      </c>
      <c r="BX78" s="695"/>
      <c r="BY78" s="695"/>
      <c r="BZ78" s="698" t="e">
        <f>+(BX78/BU78)</f>
        <v>#DIV/0!</v>
      </c>
      <c r="CA78" s="698" t="e">
        <f>+(BY78/BW78)</f>
        <v>#DIV/0!</v>
      </c>
      <c r="CB78" s="698">
        <f>+(BD78+AT78+BN78+BX78)/AM78</f>
        <v>0</v>
      </c>
      <c r="CC78" s="698" t="e">
        <f>+(BE78+AU78+BO78+BY78)/AO78</f>
        <v>#DIV/0!</v>
      </c>
      <c r="CD78" s="698"/>
      <c r="CE78" s="697" t="str">
        <f>IF(AND(AQ78=0,AT78=0),"No Prog ni Ejec",IF(AQ78=0,CONCATENATE("No Prog, Ejec=  ",AT78),AT78/AQ78))</f>
        <v>No Prog ni Ejec</v>
      </c>
      <c r="CF78" s="697" t="str">
        <f>IF(AND(AS78=0,AU78=0),"No Prog ni Ejec",IF(AS78=0,CONCATENATE("No Prog, Ejec=  ",AU78),AU78/AS78))</f>
        <v>No Prog ni Ejec</v>
      </c>
      <c r="CG78" s="697" t="str">
        <f>IF(AND(BA78=0,BD78=0),"No Prog ni Ejec",IF(BA78=0,CONCATENATE("No Prog, Ejec=  ",BD78),BD78/BA78))</f>
        <v>No Prog ni Ejec</v>
      </c>
      <c r="CH78" s="697" t="str">
        <f>IF(AND(BC78=0,BE78=0),"No Prog ni Ejec",IF(BC78=0,CONCATENATE("No Prog, Ejec=  ",BE78),BE78/BC78))</f>
        <v>No Prog ni Ejec</v>
      </c>
      <c r="CI78" s="697">
        <f>IF(AND(BK78=0,BN78=0),"No Prog ni Ejec",IF(BK78=0,CONCATENATE("No Prog, Ejec=  ",BN78),BN78/BK78))</f>
        <v>0</v>
      </c>
      <c r="CJ78" s="697" t="str">
        <f>IF(AND(BM78=0,BO78=0),"No Prog ni Ejec",IF(BM78=0,CONCATENATE("No Prog, Ejec=  ",BO78),BO78/BM78))</f>
        <v>No Prog ni Ejec</v>
      </c>
      <c r="CK78" s="697" t="str">
        <f>IF(AND(BU78=0,BX78=0),"No Prog ni Ejec",IF(BU78=0,CONCATENATE("No Prog, Ejec=  ",BX78),BX78/BU78))</f>
        <v>No Prog ni Ejec</v>
      </c>
      <c r="CL78" s="786" t="str">
        <f>IF(AND(BW78=0,BY78=0),"No Prog ni Ejec",IF(BW78=0,CONCATENATE("No Prog, Ejec=  ",BY78),BY78/BW78))</f>
        <v>No Prog ni Ejec</v>
      </c>
      <c r="CM78" s="136">
        <f>+AC78-AS78-BC78-BM78-BW78</f>
        <v>0</v>
      </c>
      <c r="CU78" s="70">
        <v>4</v>
      </c>
    </row>
    <row r="79" spans="1:107" s="70" customFormat="1" ht="89.25" hidden="1" customHeight="1" x14ac:dyDescent="0.2">
      <c r="A79" s="785">
        <v>11700</v>
      </c>
      <c r="B79" s="693" t="s">
        <v>14</v>
      </c>
      <c r="C79" s="724" t="s">
        <v>502</v>
      </c>
      <c r="D79" s="724"/>
      <c r="E79" s="724"/>
      <c r="F79" s="724" t="s">
        <v>1023</v>
      </c>
      <c r="G79" s="724" t="s">
        <v>1023</v>
      </c>
      <c r="H79" s="724"/>
      <c r="I79" s="724"/>
      <c r="J79" s="724"/>
      <c r="K79" s="724"/>
      <c r="L79" s="724" t="s">
        <v>1023</v>
      </c>
      <c r="M79" s="724"/>
      <c r="N79" s="724"/>
      <c r="O79" s="724"/>
      <c r="P79" s="724"/>
      <c r="Q79" s="693" t="s">
        <v>204</v>
      </c>
      <c r="R79" s="693" t="s">
        <v>204</v>
      </c>
      <c r="S79" s="695" t="s">
        <v>238</v>
      </c>
      <c r="T79" s="693" t="s">
        <v>94</v>
      </c>
      <c r="U79" s="693" t="s">
        <v>204</v>
      </c>
      <c r="V79" s="693" t="s">
        <v>204</v>
      </c>
      <c r="W79" s="595" t="s">
        <v>802</v>
      </c>
      <c r="X79" s="693" t="s">
        <v>762</v>
      </c>
      <c r="Y79" s="60" t="s">
        <v>408</v>
      </c>
      <c r="Z79" s="715">
        <v>1</v>
      </c>
      <c r="AA79" s="595" t="s">
        <v>792</v>
      </c>
      <c r="AB79" s="693" t="s">
        <v>783</v>
      </c>
      <c r="AC79" s="647">
        <v>0</v>
      </c>
      <c r="AD79" s="706">
        <v>1</v>
      </c>
      <c r="AE79" s="693" t="s">
        <v>16</v>
      </c>
      <c r="AF79" s="693" t="s">
        <v>21</v>
      </c>
      <c r="AG79" s="693" t="s">
        <v>204</v>
      </c>
      <c r="AH79" s="693" t="s">
        <v>638</v>
      </c>
      <c r="AI79" s="693" t="s">
        <v>77</v>
      </c>
      <c r="AJ79" s="693" t="s">
        <v>1299</v>
      </c>
      <c r="AK79" s="693" t="s">
        <v>786</v>
      </c>
      <c r="AL79" s="693" t="s">
        <v>43</v>
      </c>
      <c r="AM79" s="715">
        <v>1</v>
      </c>
      <c r="AN79" s="693" t="str">
        <f>+AB79</f>
        <v>Dar cumplimiento al Decreto 1072 de 2015, relacionado con el programa de seguridad y salud en el trabajo.</v>
      </c>
      <c r="AO79" s="703">
        <f t="shared" si="134"/>
        <v>0</v>
      </c>
      <c r="AP79" s="700" t="s">
        <v>46</v>
      </c>
      <c r="AQ79" s="715">
        <v>0</v>
      </c>
      <c r="AR79" s="693" t="str">
        <f>+AN79</f>
        <v>Dar cumplimiento al Decreto 1072 de 2015, relacionado con el programa de seguridad y salud en el trabajo.</v>
      </c>
      <c r="AS79" s="720">
        <v>0</v>
      </c>
      <c r="AT79" s="695">
        <v>0</v>
      </c>
      <c r="AU79" s="691">
        <v>0</v>
      </c>
      <c r="AV79" s="690" t="e">
        <f>+(AT79/AQ79)</f>
        <v>#DIV/0!</v>
      </c>
      <c r="AW79" s="690" t="e">
        <f>+(AU79/AS79)</f>
        <v>#DIV/0!</v>
      </c>
      <c r="AX79" s="690">
        <f>+(AT79/AM79)</f>
        <v>0</v>
      </c>
      <c r="AY79" s="690" t="e">
        <f>+(AU79/AO79)</f>
        <v>#DIV/0!</v>
      </c>
      <c r="AZ79" s="524" t="s">
        <v>1343</v>
      </c>
      <c r="BA79" s="164">
        <v>0</v>
      </c>
      <c r="BB79" s="693" t="str">
        <f>+AN79</f>
        <v>Dar cumplimiento al Decreto 1072 de 2015, relacionado con el programa de seguridad y salud en el trabajo.</v>
      </c>
      <c r="BC79" s="691">
        <v>0</v>
      </c>
      <c r="BD79" s="716">
        <v>0</v>
      </c>
      <c r="BE79" s="691">
        <v>0</v>
      </c>
      <c r="BF79" s="690" t="e">
        <f>+(BD79/BA79)</f>
        <v>#DIV/0!</v>
      </c>
      <c r="BG79" s="690" t="e">
        <f>+(BE79/BC79)</f>
        <v>#DIV/0!</v>
      </c>
      <c r="BH79" s="690">
        <f>+(BD79+AT79)/AM79</f>
        <v>0</v>
      </c>
      <c r="BI79" s="690" t="e">
        <f>+(BE79+AU79)/AO79</f>
        <v>#DIV/0!</v>
      </c>
      <c r="BJ79" s="512" t="s">
        <v>1388</v>
      </c>
      <c r="BK79" s="164">
        <v>0</v>
      </c>
      <c r="BL79" s="693" t="str">
        <f>+AN79</f>
        <v>Dar cumplimiento al Decreto 1072 de 2015, relacionado con el programa de seguridad y salud en el trabajo.</v>
      </c>
      <c r="BM79" s="691">
        <v>0</v>
      </c>
      <c r="BN79" s="695"/>
      <c r="BO79" s="695"/>
      <c r="BP79" s="690" t="e">
        <f>+(BN79/BK79)</f>
        <v>#DIV/0!</v>
      </c>
      <c r="BQ79" s="690" t="e">
        <f>+(BO79/BM79)</f>
        <v>#DIV/0!</v>
      </c>
      <c r="BR79" s="690">
        <f>+(BD79+AT79+BN79)/AM79</f>
        <v>0</v>
      </c>
      <c r="BS79" s="690" t="e">
        <f>+(BE79+AU79+BO79)/AO79</f>
        <v>#DIV/0!</v>
      </c>
      <c r="BT79" s="690"/>
      <c r="BU79" s="164">
        <v>1</v>
      </c>
      <c r="BV79" s="693" t="str">
        <f>+AN79</f>
        <v>Dar cumplimiento al Decreto 1072 de 2015, relacionado con el programa de seguridad y salud en el trabajo.</v>
      </c>
      <c r="BW79" s="691">
        <f>+AO79</f>
        <v>0</v>
      </c>
      <c r="BX79" s="695"/>
      <c r="BY79" s="695"/>
      <c r="BZ79" s="698">
        <f>+(BX79/BU79)</f>
        <v>0</v>
      </c>
      <c r="CA79" s="698" t="e">
        <f>+(BY79/BW79)</f>
        <v>#DIV/0!</v>
      </c>
      <c r="CB79" s="698">
        <f>+(BD79+AT79+BN79+BX79)/AM79</f>
        <v>0</v>
      </c>
      <c r="CC79" s="698" t="e">
        <f>+(BE79+AU79+BO79+BY79)/AO79</f>
        <v>#DIV/0!</v>
      </c>
      <c r="CD79" s="698"/>
      <c r="CE79" s="697" t="str">
        <f>IF(AND(AQ79=0,AT79=0),"No Prog ni Ejec",IF(AQ79=0,CONCATENATE("No Prog, Ejec=  ",AT79),AT79/AQ79))</f>
        <v>No Prog ni Ejec</v>
      </c>
      <c r="CF79" s="697" t="str">
        <f>IF(AND(AS79=0,AU79=0),"No Prog ni Ejec",IF(AS79=0,CONCATENATE("No Prog, Ejec=  ",AU79),AU79/AS79))</f>
        <v>No Prog ni Ejec</v>
      </c>
      <c r="CG79" s="697" t="str">
        <f>IF(AND(BA79=0,BD79=0),"No Prog ni Ejec",IF(BA79=0,CONCATENATE("No Prog, Ejec=  ",BD79),BD79/BA79))</f>
        <v>No Prog ni Ejec</v>
      </c>
      <c r="CH79" s="697" t="str">
        <f>IF(AND(BC79=0,BE79=0),"No Prog ni Ejec",IF(BC79=0,CONCATENATE("No Prog, Ejec=  ",BE79),BE79/BC79))</f>
        <v>No Prog ni Ejec</v>
      </c>
      <c r="CI79" s="697" t="str">
        <f>IF(AND(BK79=0,BN79=0),"No Prog ni Ejec",IF(BK79=0,CONCATENATE("No Prog, Ejec=  ",BN79),BN79/BK79))</f>
        <v>No Prog ni Ejec</v>
      </c>
      <c r="CJ79" s="697" t="str">
        <f>IF(AND(BM79=0,BO79=0),"No Prog ni Ejec",IF(BM79=0,CONCATENATE("No Prog, Ejec=  ",BO79),BO79/BM79))</f>
        <v>No Prog ni Ejec</v>
      </c>
      <c r="CK79" s="697">
        <f>IF(AND(BU79=0,BX79=0),"No Prog ni Ejec",IF(BU79=0,CONCATENATE("No Prog, Ejec=  ",BX79),BX79/BU79))</f>
        <v>0</v>
      </c>
      <c r="CL79" s="786" t="str">
        <f>IF(AND(BW79=0,BY79=0),"No Prog ni Ejec",IF(BW79=0,CONCATENATE("No Prog, Ejec=  ",BY79),BY79/BW79))</f>
        <v>No Prog ni Ejec</v>
      </c>
      <c r="CM79" s="136">
        <f>+AC79-AS79-BC79-BM79-BW79</f>
        <v>0</v>
      </c>
      <c r="CU79" s="70">
        <v>4</v>
      </c>
    </row>
    <row r="80" spans="1:107" s="70" customFormat="1" ht="89.25" hidden="1" customHeight="1" x14ac:dyDescent="0.2">
      <c r="A80" s="785">
        <v>11700</v>
      </c>
      <c r="B80" s="693" t="s">
        <v>14</v>
      </c>
      <c r="C80" s="724" t="s">
        <v>502</v>
      </c>
      <c r="D80" s="724"/>
      <c r="E80" s="724"/>
      <c r="F80" s="724" t="s">
        <v>1023</v>
      </c>
      <c r="G80" s="724" t="s">
        <v>1023</v>
      </c>
      <c r="H80" s="724"/>
      <c r="I80" s="724"/>
      <c r="J80" s="724"/>
      <c r="K80" s="724"/>
      <c r="L80" s="724" t="s">
        <v>1023</v>
      </c>
      <c r="M80" s="724"/>
      <c r="N80" s="724"/>
      <c r="O80" s="724"/>
      <c r="P80" s="724"/>
      <c r="Q80" s="693" t="s">
        <v>204</v>
      </c>
      <c r="R80" s="693" t="s">
        <v>204</v>
      </c>
      <c r="S80" s="695" t="s">
        <v>238</v>
      </c>
      <c r="T80" s="693" t="s">
        <v>94</v>
      </c>
      <c r="U80" s="693" t="s">
        <v>204</v>
      </c>
      <c r="V80" s="693" t="s">
        <v>204</v>
      </c>
      <c r="W80" s="595" t="s">
        <v>803</v>
      </c>
      <c r="X80" s="693" t="s">
        <v>758</v>
      </c>
      <c r="Y80" s="60" t="s">
        <v>408</v>
      </c>
      <c r="Z80" s="1123">
        <v>6</v>
      </c>
      <c r="AA80" s="1139" t="s">
        <v>793</v>
      </c>
      <c r="AB80" s="959" t="s">
        <v>1573</v>
      </c>
      <c r="AC80" s="1137">
        <v>248814552</v>
      </c>
      <c r="AD80" s="706">
        <v>1</v>
      </c>
      <c r="AE80" s="693" t="s">
        <v>16</v>
      </c>
      <c r="AF80" s="693" t="s">
        <v>21</v>
      </c>
      <c r="AG80" s="693" t="s">
        <v>204</v>
      </c>
      <c r="AH80" s="693" t="s">
        <v>638</v>
      </c>
      <c r="AI80" s="693" t="s">
        <v>77</v>
      </c>
      <c r="AJ80" s="693" t="s">
        <v>1299</v>
      </c>
      <c r="AK80" s="1034" t="s">
        <v>786</v>
      </c>
      <c r="AL80" s="693" t="s">
        <v>43</v>
      </c>
      <c r="AM80" s="1123">
        <v>6</v>
      </c>
      <c r="AN80" s="959" t="str">
        <f>+AB80</f>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O80" s="1137">
        <f t="shared" si="134"/>
        <v>248814552</v>
      </c>
      <c r="AP80" s="700" t="s">
        <v>46</v>
      </c>
      <c r="AQ80" s="1123">
        <v>0</v>
      </c>
      <c r="AR80" s="1034" t="str">
        <f t="shared" si="136"/>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S80" s="1138">
        <v>0</v>
      </c>
      <c r="AT80" s="973">
        <v>0</v>
      </c>
      <c r="AU80" s="1016">
        <v>0</v>
      </c>
      <c r="AV80" s="954" t="e">
        <f t="shared" si="137"/>
        <v>#DIV/0!</v>
      </c>
      <c r="AW80" s="954" t="e">
        <f t="shared" si="138"/>
        <v>#DIV/0!</v>
      </c>
      <c r="AX80" s="954">
        <f t="shared" si="139"/>
        <v>0</v>
      </c>
      <c r="AY80" s="954">
        <f t="shared" si="140"/>
        <v>0</v>
      </c>
      <c r="AZ80" s="1051" t="s">
        <v>1343</v>
      </c>
      <c r="BA80" s="1140">
        <v>1</v>
      </c>
      <c r="BB80" s="1034" t="str">
        <f t="shared" si="141"/>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C80" s="1113">
        <f>+AO80/6</f>
        <v>41469092</v>
      </c>
      <c r="BD80" s="973">
        <v>1</v>
      </c>
      <c r="BE80" s="963">
        <v>47992820</v>
      </c>
      <c r="BF80" s="954">
        <f t="shared" si="142"/>
        <v>1</v>
      </c>
      <c r="BG80" s="954">
        <f t="shared" si="143"/>
        <v>1.1573154290429122</v>
      </c>
      <c r="BH80" s="954">
        <f t="shared" si="144"/>
        <v>0.16666666666666666</v>
      </c>
      <c r="BI80" s="954">
        <f t="shared" si="145"/>
        <v>0.19288590484048537</v>
      </c>
      <c r="BJ80" s="961" t="s">
        <v>1660</v>
      </c>
      <c r="BK80" s="1140">
        <v>3</v>
      </c>
      <c r="BL80" s="1034" t="str">
        <f t="shared" si="146"/>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M80" s="1113">
        <f>(AO80/6)*3</f>
        <v>124407276</v>
      </c>
      <c r="BN80" s="973"/>
      <c r="BO80" s="973"/>
      <c r="BP80" s="954">
        <f t="shared" si="147"/>
        <v>0</v>
      </c>
      <c r="BQ80" s="954">
        <f t="shared" si="148"/>
        <v>0</v>
      </c>
      <c r="BR80" s="954">
        <f t="shared" si="149"/>
        <v>0.16666666666666666</v>
      </c>
      <c r="BS80" s="954">
        <f t="shared" si="150"/>
        <v>0.19288590484048537</v>
      </c>
      <c r="BT80" s="954"/>
      <c r="BU80" s="1140">
        <v>2</v>
      </c>
      <c r="BV80" s="1034" t="str">
        <f t="shared" si="151"/>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W80" s="1113">
        <f>(AO80/6)*2</f>
        <v>82938184</v>
      </c>
      <c r="BX80" s="973"/>
      <c r="BY80" s="973"/>
      <c r="BZ80" s="1077">
        <f t="shared" si="152"/>
        <v>0</v>
      </c>
      <c r="CA80" s="1077">
        <f t="shared" si="153"/>
        <v>0</v>
      </c>
      <c r="CB80" s="1077">
        <f t="shared" si="154"/>
        <v>0.16666666666666666</v>
      </c>
      <c r="CC80" s="1077">
        <f t="shared" si="155"/>
        <v>0.19288590484048537</v>
      </c>
      <c r="CD80" s="1077"/>
      <c r="CE80" s="966" t="str">
        <f t="shared" si="156"/>
        <v>No Prog ni Ejec</v>
      </c>
      <c r="CF80" s="966" t="str">
        <f t="shared" si="157"/>
        <v>No Prog ni Ejec</v>
      </c>
      <c r="CG80" s="966">
        <f t="shared" si="158"/>
        <v>1</v>
      </c>
      <c r="CH80" s="966">
        <f t="shared" si="159"/>
        <v>1.1573154290429122</v>
      </c>
      <c r="CI80" s="966">
        <f t="shared" si="160"/>
        <v>0</v>
      </c>
      <c r="CJ80" s="966">
        <f t="shared" si="161"/>
        <v>0</v>
      </c>
      <c r="CK80" s="966">
        <f t="shared" si="162"/>
        <v>0</v>
      </c>
      <c r="CL80" s="1023">
        <f t="shared" si="163"/>
        <v>0</v>
      </c>
      <c r="CM80" s="136">
        <f t="shared" si="133"/>
        <v>0</v>
      </c>
      <c r="CU80" s="70">
        <v>4</v>
      </c>
    </row>
    <row r="81" spans="1:106" s="70" customFormat="1" ht="101.25" hidden="1" customHeight="1" x14ac:dyDescent="0.2">
      <c r="A81" s="785">
        <v>11700</v>
      </c>
      <c r="B81" s="693" t="s">
        <v>14</v>
      </c>
      <c r="C81" s="724" t="s">
        <v>502</v>
      </c>
      <c r="D81" s="724"/>
      <c r="E81" s="724"/>
      <c r="F81" s="724" t="s">
        <v>1023</v>
      </c>
      <c r="G81" s="724" t="s">
        <v>1023</v>
      </c>
      <c r="H81" s="724"/>
      <c r="I81" s="724"/>
      <c r="J81" s="724"/>
      <c r="K81" s="724"/>
      <c r="L81" s="724" t="s">
        <v>1023</v>
      </c>
      <c r="M81" s="724"/>
      <c r="N81" s="724"/>
      <c r="O81" s="724"/>
      <c r="P81" s="724"/>
      <c r="Q81" s="693" t="s">
        <v>204</v>
      </c>
      <c r="R81" s="693" t="s">
        <v>204</v>
      </c>
      <c r="S81" s="695" t="s">
        <v>238</v>
      </c>
      <c r="T81" s="693" t="s">
        <v>94</v>
      </c>
      <c r="U81" s="693" t="s">
        <v>204</v>
      </c>
      <c r="V81" s="693" t="s">
        <v>204</v>
      </c>
      <c r="W81" s="595" t="s">
        <v>1575</v>
      </c>
      <c r="X81" s="693" t="s">
        <v>759</v>
      </c>
      <c r="Y81" s="60" t="s">
        <v>408</v>
      </c>
      <c r="Z81" s="1123"/>
      <c r="AA81" s="1139"/>
      <c r="AB81" s="959"/>
      <c r="AC81" s="1137"/>
      <c r="AD81" s="706">
        <v>1</v>
      </c>
      <c r="AE81" s="693" t="s">
        <v>16</v>
      </c>
      <c r="AF81" s="693" t="s">
        <v>21</v>
      </c>
      <c r="AG81" s="693" t="s">
        <v>204</v>
      </c>
      <c r="AH81" s="693" t="s">
        <v>638</v>
      </c>
      <c r="AI81" s="693" t="s">
        <v>77</v>
      </c>
      <c r="AJ81" s="693" t="s">
        <v>1299</v>
      </c>
      <c r="AK81" s="1034"/>
      <c r="AL81" s="693" t="s">
        <v>43</v>
      </c>
      <c r="AM81" s="1123"/>
      <c r="AN81" s="959"/>
      <c r="AO81" s="1137"/>
      <c r="AP81" s="700" t="s">
        <v>46</v>
      </c>
      <c r="AQ81" s="1123"/>
      <c r="AR81" s="1034"/>
      <c r="AS81" s="1138"/>
      <c r="AT81" s="973"/>
      <c r="AU81" s="1016"/>
      <c r="AV81" s="954"/>
      <c r="AW81" s="954"/>
      <c r="AX81" s="954"/>
      <c r="AY81" s="954"/>
      <c r="AZ81" s="1051"/>
      <c r="BA81" s="1140"/>
      <c r="BB81" s="1034"/>
      <c r="BC81" s="1113"/>
      <c r="BD81" s="973"/>
      <c r="BE81" s="963"/>
      <c r="BF81" s="954"/>
      <c r="BG81" s="954"/>
      <c r="BH81" s="954"/>
      <c r="BI81" s="954"/>
      <c r="BJ81" s="962"/>
      <c r="BK81" s="1140"/>
      <c r="BL81" s="1034"/>
      <c r="BM81" s="1113"/>
      <c r="BN81" s="973"/>
      <c r="BO81" s="973"/>
      <c r="BP81" s="954"/>
      <c r="BQ81" s="954"/>
      <c r="BR81" s="954"/>
      <c r="BS81" s="954"/>
      <c r="BT81" s="954"/>
      <c r="BU81" s="1140"/>
      <c r="BV81" s="1034"/>
      <c r="BW81" s="1113"/>
      <c r="BX81" s="973"/>
      <c r="BY81" s="973"/>
      <c r="BZ81" s="1077"/>
      <c r="CA81" s="1077"/>
      <c r="CB81" s="1077"/>
      <c r="CC81" s="1077"/>
      <c r="CD81" s="1077"/>
      <c r="CE81" s="966"/>
      <c r="CF81" s="966"/>
      <c r="CG81" s="966"/>
      <c r="CH81" s="966"/>
      <c r="CI81" s="966"/>
      <c r="CJ81" s="966"/>
      <c r="CK81" s="966"/>
      <c r="CL81" s="1023"/>
      <c r="CM81" s="136">
        <f t="shared" si="133"/>
        <v>0</v>
      </c>
      <c r="CU81" s="70">
        <v>4</v>
      </c>
    </row>
    <row r="82" spans="1:106" s="70" customFormat="1" ht="108.75" hidden="1" customHeight="1" x14ac:dyDescent="0.2">
      <c r="A82" s="785">
        <v>11700</v>
      </c>
      <c r="B82" s="693" t="s">
        <v>14</v>
      </c>
      <c r="C82" s="724" t="s">
        <v>502</v>
      </c>
      <c r="D82" s="724"/>
      <c r="E82" s="724"/>
      <c r="F82" s="724" t="s">
        <v>1023</v>
      </c>
      <c r="G82" s="724" t="s">
        <v>1023</v>
      </c>
      <c r="H82" s="724"/>
      <c r="I82" s="724"/>
      <c r="J82" s="724"/>
      <c r="K82" s="724"/>
      <c r="L82" s="724" t="s">
        <v>1023</v>
      </c>
      <c r="M82" s="724"/>
      <c r="N82" s="724"/>
      <c r="O82" s="724"/>
      <c r="P82" s="724"/>
      <c r="Q82" s="693" t="s">
        <v>204</v>
      </c>
      <c r="R82" s="693" t="s">
        <v>204</v>
      </c>
      <c r="S82" s="695" t="s">
        <v>238</v>
      </c>
      <c r="T82" s="693" t="s">
        <v>94</v>
      </c>
      <c r="U82" s="693" t="s">
        <v>204</v>
      </c>
      <c r="V82" s="693" t="s">
        <v>204</v>
      </c>
      <c r="W82" s="595" t="s">
        <v>1576</v>
      </c>
      <c r="X82" s="693" t="s">
        <v>760</v>
      </c>
      <c r="Y82" s="60" t="s">
        <v>408</v>
      </c>
      <c r="Z82" s="1123"/>
      <c r="AA82" s="1139"/>
      <c r="AB82" s="959"/>
      <c r="AC82" s="1137"/>
      <c r="AD82" s="706">
        <v>1</v>
      </c>
      <c r="AE82" s="693" t="s">
        <v>16</v>
      </c>
      <c r="AF82" s="693" t="s">
        <v>21</v>
      </c>
      <c r="AG82" s="693" t="s">
        <v>204</v>
      </c>
      <c r="AH82" s="693" t="s">
        <v>638</v>
      </c>
      <c r="AI82" s="693" t="s">
        <v>77</v>
      </c>
      <c r="AJ82" s="693" t="s">
        <v>1299</v>
      </c>
      <c r="AK82" s="1034"/>
      <c r="AL82" s="693" t="s">
        <v>43</v>
      </c>
      <c r="AM82" s="1123"/>
      <c r="AN82" s="959"/>
      <c r="AO82" s="1137"/>
      <c r="AP82" s="700" t="s">
        <v>46</v>
      </c>
      <c r="AQ82" s="1123"/>
      <c r="AR82" s="1034"/>
      <c r="AS82" s="1138"/>
      <c r="AT82" s="973"/>
      <c r="AU82" s="1016"/>
      <c r="AV82" s="954"/>
      <c r="AW82" s="954"/>
      <c r="AX82" s="954"/>
      <c r="AY82" s="954"/>
      <c r="AZ82" s="1051"/>
      <c r="BA82" s="1140"/>
      <c r="BB82" s="1034"/>
      <c r="BC82" s="1113"/>
      <c r="BD82" s="973"/>
      <c r="BE82" s="963"/>
      <c r="BF82" s="954"/>
      <c r="BG82" s="954"/>
      <c r="BH82" s="954"/>
      <c r="BI82" s="954"/>
      <c r="BJ82" s="962"/>
      <c r="BK82" s="1140"/>
      <c r="BL82" s="1034"/>
      <c r="BM82" s="1113"/>
      <c r="BN82" s="973"/>
      <c r="BO82" s="973"/>
      <c r="BP82" s="954"/>
      <c r="BQ82" s="954"/>
      <c r="BR82" s="954"/>
      <c r="BS82" s="954"/>
      <c r="BT82" s="954"/>
      <c r="BU82" s="1140"/>
      <c r="BV82" s="1034"/>
      <c r="BW82" s="1113"/>
      <c r="BX82" s="973"/>
      <c r="BY82" s="973"/>
      <c r="BZ82" s="1077"/>
      <c r="CA82" s="1077"/>
      <c r="CB82" s="1077"/>
      <c r="CC82" s="1077"/>
      <c r="CD82" s="1077"/>
      <c r="CE82" s="966"/>
      <c r="CF82" s="966"/>
      <c r="CG82" s="966"/>
      <c r="CH82" s="966"/>
      <c r="CI82" s="966"/>
      <c r="CJ82" s="966"/>
      <c r="CK82" s="966"/>
      <c r="CL82" s="1023"/>
      <c r="CM82" s="136">
        <f t="shared" si="133"/>
        <v>0</v>
      </c>
      <c r="CU82" s="70">
        <v>4</v>
      </c>
    </row>
    <row r="83" spans="1:106" s="70" customFormat="1" ht="99.75" hidden="1" customHeight="1" x14ac:dyDescent="0.2">
      <c r="A83" s="785">
        <v>11700</v>
      </c>
      <c r="B83" s="693" t="s">
        <v>14</v>
      </c>
      <c r="C83" s="724" t="s">
        <v>502</v>
      </c>
      <c r="D83" s="724"/>
      <c r="E83" s="724"/>
      <c r="F83" s="724" t="s">
        <v>1023</v>
      </c>
      <c r="G83" s="724" t="s">
        <v>1023</v>
      </c>
      <c r="H83" s="724"/>
      <c r="I83" s="724"/>
      <c r="J83" s="724"/>
      <c r="K83" s="724"/>
      <c r="L83" s="724" t="s">
        <v>1023</v>
      </c>
      <c r="M83" s="724"/>
      <c r="N83" s="724"/>
      <c r="O83" s="724"/>
      <c r="P83" s="724"/>
      <c r="Q83" s="693" t="s">
        <v>204</v>
      </c>
      <c r="R83" s="693" t="s">
        <v>204</v>
      </c>
      <c r="S83" s="695" t="s">
        <v>238</v>
      </c>
      <c r="T83" s="693" t="s">
        <v>94</v>
      </c>
      <c r="U83" s="693" t="s">
        <v>204</v>
      </c>
      <c r="V83" s="693" t="s">
        <v>204</v>
      </c>
      <c r="W83" s="595" t="s">
        <v>1577</v>
      </c>
      <c r="X83" s="693" t="s">
        <v>763</v>
      </c>
      <c r="Y83" s="60" t="s">
        <v>408</v>
      </c>
      <c r="Z83" s="1123"/>
      <c r="AA83" s="1139"/>
      <c r="AB83" s="959"/>
      <c r="AC83" s="1137"/>
      <c r="AD83" s="706">
        <v>1</v>
      </c>
      <c r="AE83" s="693" t="s">
        <v>16</v>
      </c>
      <c r="AF83" s="693" t="s">
        <v>281</v>
      </c>
      <c r="AG83" s="693" t="s">
        <v>204</v>
      </c>
      <c r="AH83" s="693" t="s">
        <v>638</v>
      </c>
      <c r="AI83" s="693" t="s">
        <v>77</v>
      </c>
      <c r="AJ83" s="693" t="s">
        <v>1299</v>
      </c>
      <c r="AK83" s="1034"/>
      <c r="AL83" s="693" t="s">
        <v>43</v>
      </c>
      <c r="AM83" s="1123"/>
      <c r="AN83" s="959"/>
      <c r="AO83" s="1137"/>
      <c r="AP83" s="700" t="s">
        <v>46</v>
      </c>
      <c r="AQ83" s="1123"/>
      <c r="AR83" s="1034"/>
      <c r="AS83" s="1138"/>
      <c r="AT83" s="973"/>
      <c r="AU83" s="1016"/>
      <c r="AV83" s="954"/>
      <c r="AW83" s="954"/>
      <c r="AX83" s="954"/>
      <c r="AY83" s="954"/>
      <c r="AZ83" s="1051"/>
      <c r="BA83" s="1140"/>
      <c r="BB83" s="1034"/>
      <c r="BC83" s="1113"/>
      <c r="BD83" s="973"/>
      <c r="BE83" s="963"/>
      <c r="BF83" s="954"/>
      <c r="BG83" s="954"/>
      <c r="BH83" s="954"/>
      <c r="BI83" s="954"/>
      <c r="BJ83" s="962"/>
      <c r="BK83" s="1140"/>
      <c r="BL83" s="1034"/>
      <c r="BM83" s="1113"/>
      <c r="BN83" s="973"/>
      <c r="BO83" s="973"/>
      <c r="BP83" s="954"/>
      <c r="BQ83" s="954"/>
      <c r="BR83" s="954"/>
      <c r="BS83" s="954"/>
      <c r="BT83" s="954"/>
      <c r="BU83" s="1140"/>
      <c r="BV83" s="1034"/>
      <c r="BW83" s="1113"/>
      <c r="BX83" s="973"/>
      <c r="BY83" s="973"/>
      <c r="BZ83" s="1077"/>
      <c r="CA83" s="1077"/>
      <c r="CB83" s="1077"/>
      <c r="CC83" s="1077"/>
      <c r="CD83" s="1077"/>
      <c r="CE83" s="966"/>
      <c r="CF83" s="966"/>
      <c r="CG83" s="966"/>
      <c r="CH83" s="966"/>
      <c r="CI83" s="966"/>
      <c r="CJ83" s="966"/>
      <c r="CK83" s="966"/>
      <c r="CL83" s="1023"/>
      <c r="CM83" s="136">
        <f t="shared" si="133"/>
        <v>0</v>
      </c>
      <c r="CU83" s="70">
        <v>4</v>
      </c>
    </row>
    <row r="84" spans="1:106" s="70" customFormat="1" ht="102" hidden="1" customHeight="1" x14ac:dyDescent="0.2">
      <c r="A84" s="785">
        <v>11700</v>
      </c>
      <c r="B84" s="693" t="s">
        <v>14</v>
      </c>
      <c r="C84" s="724" t="s">
        <v>502</v>
      </c>
      <c r="D84" s="724"/>
      <c r="E84" s="724"/>
      <c r="F84" s="724" t="s">
        <v>1023</v>
      </c>
      <c r="G84" s="724" t="s">
        <v>1023</v>
      </c>
      <c r="H84" s="724"/>
      <c r="I84" s="724"/>
      <c r="J84" s="724"/>
      <c r="K84" s="724"/>
      <c r="L84" s="724" t="s">
        <v>1023</v>
      </c>
      <c r="M84" s="724"/>
      <c r="N84" s="724"/>
      <c r="O84" s="724"/>
      <c r="P84" s="724"/>
      <c r="Q84" s="693" t="s">
        <v>204</v>
      </c>
      <c r="R84" s="693" t="s">
        <v>204</v>
      </c>
      <c r="S84" s="695" t="s">
        <v>238</v>
      </c>
      <c r="T84" s="693" t="s">
        <v>94</v>
      </c>
      <c r="U84" s="693" t="s">
        <v>204</v>
      </c>
      <c r="V84" s="693" t="s">
        <v>204</v>
      </c>
      <c r="W84" s="595" t="s">
        <v>1578</v>
      </c>
      <c r="X84" s="693" t="s">
        <v>764</v>
      </c>
      <c r="Y84" s="60" t="s">
        <v>408</v>
      </c>
      <c r="Z84" s="1123"/>
      <c r="AA84" s="1139"/>
      <c r="AB84" s="959"/>
      <c r="AC84" s="1137"/>
      <c r="AD84" s="706">
        <v>1</v>
      </c>
      <c r="AE84" s="693" t="s">
        <v>16</v>
      </c>
      <c r="AF84" s="693" t="s">
        <v>21</v>
      </c>
      <c r="AG84" s="693" t="s">
        <v>204</v>
      </c>
      <c r="AH84" s="693" t="s">
        <v>638</v>
      </c>
      <c r="AI84" s="693" t="s">
        <v>77</v>
      </c>
      <c r="AJ84" s="693" t="s">
        <v>1299</v>
      </c>
      <c r="AK84" s="1034"/>
      <c r="AL84" s="693" t="s">
        <v>43</v>
      </c>
      <c r="AM84" s="1123"/>
      <c r="AN84" s="959"/>
      <c r="AO84" s="1137"/>
      <c r="AP84" s="700" t="s">
        <v>46</v>
      </c>
      <c r="AQ84" s="1123"/>
      <c r="AR84" s="1034"/>
      <c r="AS84" s="1138"/>
      <c r="AT84" s="973"/>
      <c r="AU84" s="1016"/>
      <c r="AV84" s="954"/>
      <c r="AW84" s="954"/>
      <c r="AX84" s="954"/>
      <c r="AY84" s="954"/>
      <c r="AZ84" s="1051"/>
      <c r="BA84" s="1140"/>
      <c r="BB84" s="1034"/>
      <c r="BC84" s="1113"/>
      <c r="BD84" s="973"/>
      <c r="BE84" s="963"/>
      <c r="BF84" s="954"/>
      <c r="BG84" s="954"/>
      <c r="BH84" s="954"/>
      <c r="BI84" s="954"/>
      <c r="BJ84" s="962"/>
      <c r="BK84" s="1140"/>
      <c r="BL84" s="1034"/>
      <c r="BM84" s="1113"/>
      <c r="BN84" s="973"/>
      <c r="BO84" s="973"/>
      <c r="BP84" s="954"/>
      <c r="BQ84" s="954"/>
      <c r="BR84" s="954"/>
      <c r="BS84" s="954"/>
      <c r="BT84" s="954"/>
      <c r="BU84" s="1140"/>
      <c r="BV84" s="1034"/>
      <c r="BW84" s="1113"/>
      <c r="BX84" s="973"/>
      <c r="BY84" s="973"/>
      <c r="BZ84" s="1077"/>
      <c r="CA84" s="1077"/>
      <c r="CB84" s="1077"/>
      <c r="CC84" s="1077"/>
      <c r="CD84" s="1077"/>
      <c r="CE84" s="966"/>
      <c r="CF84" s="966"/>
      <c r="CG84" s="966"/>
      <c r="CH84" s="966"/>
      <c r="CI84" s="966"/>
      <c r="CJ84" s="966"/>
      <c r="CK84" s="966"/>
      <c r="CL84" s="1023"/>
      <c r="CM84" s="136">
        <f t="shared" si="133"/>
        <v>0</v>
      </c>
      <c r="CU84" s="70">
        <v>4</v>
      </c>
    </row>
    <row r="85" spans="1:106" s="70" customFormat="1" ht="89.25" hidden="1" customHeight="1" x14ac:dyDescent="0.2">
      <c r="A85" s="785">
        <v>11700</v>
      </c>
      <c r="B85" s="693" t="s">
        <v>14</v>
      </c>
      <c r="C85" s="724" t="s">
        <v>502</v>
      </c>
      <c r="D85" s="748" t="s">
        <v>1023</v>
      </c>
      <c r="E85" s="724"/>
      <c r="F85" s="724" t="s">
        <v>1023</v>
      </c>
      <c r="G85" s="724" t="s">
        <v>1023</v>
      </c>
      <c r="H85" s="724"/>
      <c r="I85" s="724"/>
      <c r="J85" s="724"/>
      <c r="K85" s="724"/>
      <c r="L85" s="724" t="s">
        <v>1023</v>
      </c>
      <c r="M85" s="724"/>
      <c r="N85" s="724"/>
      <c r="O85" s="724"/>
      <c r="P85" s="724"/>
      <c r="Q85" s="702" t="s">
        <v>1757</v>
      </c>
      <c r="R85" s="693" t="s">
        <v>204</v>
      </c>
      <c r="S85" s="695" t="s">
        <v>238</v>
      </c>
      <c r="T85" s="693" t="s">
        <v>94</v>
      </c>
      <c r="U85" s="693" t="s">
        <v>204</v>
      </c>
      <c r="V85" s="693" t="s">
        <v>204</v>
      </c>
      <c r="W85" s="595" t="s">
        <v>1579</v>
      </c>
      <c r="X85" s="693" t="s">
        <v>765</v>
      </c>
      <c r="Y85" s="60" t="s">
        <v>408</v>
      </c>
      <c r="Z85" s="1123"/>
      <c r="AA85" s="1139"/>
      <c r="AB85" s="959"/>
      <c r="AC85" s="1137"/>
      <c r="AD85" s="706">
        <v>1</v>
      </c>
      <c r="AE85" s="693" t="s">
        <v>16</v>
      </c>
      <c r="AF85" s="693" t="s">
        <v>21</v>
      </c>
      <c r="AG85" s="693" t="s">
        <v>204</v>
      </c>
      <c r="AH85" s="693" t="s">
        <v>638</v>
      </c>
      <c r="AI85" s="693" t="s">
        <v>77</v>
      </c>
      <c r="AJ85" s="693" t="s">
        <v>1299</v>
      </c>
      <c r="AK85" s="1034"/>
      <c r="AL85" s="693" t="s">
        <v>43</v>
      </c>
      <c r="AM85" s="1123"/>
      <c r="AN85" s="959"/>
      <c r="AO85" s="1137"/>
      <c r="AP85" s="700" t="s">
        <v>46</v>
      </c>
      <c r="AQ85" s="1123"/>
      <c r="AR85" s="1034"/>
      <c r="AS85" s="1138"/>
      <c r="AT85" s="973"/>
      <c r="AU85" s="1016"/>
      <c r="AV85" s="954"/>
      <c r="AW85" s="954"/>
      <c r="AX85" s="954"/>
      <c r="AY85" s="954"/>
      <c r="AZ85" s="1051"/>
      <c r="BA85" s="1140"/>
      <c r="BB85" s="1034"/>
      <c r="BC85" s="1113"/>
      <c r="BD85" s="973"/>
      <c r="BE85" s="963"/>
      <c r="BF85" s="954"/>
      <c r="BG85" s="954"/>
      <c r="BH85" s="954"/>
      <c r="BI85" s="954"/>
      <c r="BJ85" s="962"/>
      <c r="BK85" s="1140"/>
      <c r="BL85" s="1034"/>
      <c r="BM85" s="1113"/>
      <c r="BN85" s="973"/>
      <c r="BO85" s="973"/>
      <c r="BP85" s="954"/>
      <c r="BQ85" s="954"/>
      <c r="BR85" s="954"/>
      <c r="BS85" s="954"/>
      <c r="BT85" s="954"/>
      <c r="BU85" s="1140"/>
      <c r="BV85" s="1034"/>
      <c r="BW85" s="1113"/>
      <c r="BX85" s="973"/>
      <c r="BY85" s="973"/>
      <c r="BZ85" s="1077"/>
      <c r="CA85" s="1077"/>
      <c r="CB85" s="1077"/>
      <c r="CC85" s="1077"/>
      <c r="CD85" s="1077"/>
      <c r="CE85" s="966"/>
      <c r="CF85" s="966"/>
      <c r="CG85" s="966"/>
      <c r="CH85" s="966"/>
      <c r="CI85" s="966"/>
      <c r="CJ85" s="966"/>
      <c r="CK85" s="966"/>
      <c r="CL85" s="1023"/>
      <c r="CM85" s="136">
        <f t="shared" si="133"/>
        <v>0</v>
      </c>
      <c r="CU85" s="70">
        <v>4</v>
      </c>
    </row>
    <row r="86" spans="1:106" s="70" customFormat="1" ht="102" hidden="1" customHeight="1" x14ac:dyDescent="0.2">
      <c r="A86" s="785">
        <v>11700</v>
      </c>
      <c r="B86" s="693" t="s">
        <v>14</v>
      </c>
      <c r="C86" s="724" t="s">
        <v>502</v>
      </c>
      <c r="D86" s="724"/>
      <c r="E86" s="724"/>
      <c r="F86" s="724"/>
      <c r="G86" s="724" t="s">
        <v>1023</v>
      </c>
      <c r="H86" s="724"/>
      <c r="I86" s="724"/>
      <c r="J86" s="724"/>
      <c r="K86" s="724"/>
      <c r="L86" s="724" t="s">
        <v>1023</v>
      </c>
      <c r="M86" s="724"/>
      <c r="N86" s="724"/>
      <c r="O86" s="724"/>
      <c r="P86" s="724"/>
      <c r="Q86" s="693" t="s">
        <v>204</v>
      </c>
      <c r="R86" s="693" t="s">
        <v>204</v>
      </c>
      <c r="S86" s="695" t="s">
        <v>238</v>
      </c>
      <c r="T86" s="693" t="s">
        <v>94</v>
      </c>
      <c r="U86" s="693" t="s">
        <v>204</v>
      </c>
      <c r="V86" s="693" t="s">
        <v>204</v>
      </c>
      <c r="W86" s="695" t="s">
        <v>804</v>
      </c>
      <c r="X86" s="693" t="s">
        <v>766</v>
      </c>
      <c r="Y86" s="60" t="s">
        <v>408</v>
      </c>
      <c r="Z86" s="715">
        <v>1</v>
      </c>
      <c r="AA86" s="973" t="s">
        <v>794</v>
      </c>
      <c r="AB86" s="1034" t="s">
        <v>784</v>
      </c>
      <c r="AC86" s="703">
        <v>0</v>
      </c>
      <c r="AD86" s="706">
        <v>1</v>
      </c>
      <c r="AE86" s="693" t="s">
        <v>16</v>
      </c>
      <c r="AF86" s="693" t="s">
        <v>21</v>
      </c>
      <c r="AG86" s="693" t="s">
        <v>204</v>
      </c>
      <c r="AH86" s="693" t="s">
        <v>638</v>
      </c>
      <c r="AI86" s="693" t="s">
        <v>77</v>
      </c>
      <c r="AJ86" s="693" t="s">
        <v>1299</v>
      </c>
      <c r="AK86" s="693" t="s">
        <v>786</v>
      </c>
      <c r="AL86" s="693" t="s">
        <v>43</v>
      </c>
      <c r="AM86" s="715">
        <v>1</v>
      </c>
      <c r="AN86" s="1034" t="str">
        <f>+AB86</f>
        <v>Dar cumplimiento al modelo integrado de planeación y gestión</v>
      </c>
      <c r="AO86" s="703">
        <f t="shared" ref="AO86:AO93" si="164">+AC86</f>
        <v>0</v>
      </c>
      <c r="AP86" s="700" t="s">
        <v>46</v>
      </c>
      <c r="AQ86" s="715">
        <v>0</v>
      </c>
      <c r="AR86" s="1034" t="str">
        <f>+AN86</f>
        <v>Dar cumplimiento al modelo integrado de planeación y gestión</v>
      </c>
      <c r="AS86" s="720">
        <v>0</v>
      </c>
      <c r="AT86" s="695">
        <v>0</v>
      </c>
      <c r="AU86" s="691">
        <v>0</v>
      </c>
      <c r="AV86" s="690" t="e">
        <f t="shared" si="137"/>
        <v>#DIV/0!</v>
      </c>
      <c r="AW86" s="690" t="e">
        <f t="shared" si="138"/>
        <v>#DIV/0!</v>
      </c>
      <c r="AX86" s="690">
        <f t="shared" si="139"/>
        <v>0</v>
      </c>
      <c r="AY86" s="690" t="e">
        <f t="shared" si="140"/>
        <v>#DIV/0!</v>
      </c>
      <c r="AZ86" s="524" t="s">
        <v>1343</v>
      </c>
      <c r="BA86" s="164">
        <v>0</v>
      </c>
      <c r="BB86" s="1034" t="str">
        <f>+AN86</f>
        <v>Dar cumplimiento al modelo integrado de planeación y gestión</v>
      </c>
      <c r="BC86" s="691">
        <v>0</v>
      </c>
      <c r="BD86" s="716">
        <v>0</v>
      </c>
      <c r="BE86" s="691">
        <v>0</v>
      </c>
      <c r="BF86" s="690" t="e">
        <f t="shared" si="142"/>
        <v>#DIV/0!</v>
      </c>
      <c r="BG86" s="690" t="e">
        <f t="shared" si="143"/>
        <v>#DIV/0!</v>
      </c>
      <c r="BH86" s="690">
        <f t="shared" si="144"/>
        <v>0</v>
      </c>
      <c r="BI86" s="690" t="e">
        <f t="shared" si="145"/>
        <v>#DIV/0!</v>
      </c>
      <c r="BJ86" s="512" t="s">
        <v>1388</v>
      </c>
      <c r="BK86" s="164">
        <v>1</v>
      </c>
      <c r="BL86" s="1034" t="str">
        <f>+AN86</f>
        <v>Dar cumplimiento al modelo integrado de planeación y gestión</v>
      </c>
      <c r="BM86" s="691">
        <v>0</v>
      </c>
      <c r="BN86" s="695"/>
      <c r="BO86" s="695"/>
      <c r="BP86" s="690">
        <f t="shared" si="147"/>
        <v>0</v>
      </c>
      <c r="BQ86" s="690" t="e">
        <f t="shared" si="148"/>
        <v>#DIV/0!</v>
      </c>
      <c r="BR86" s="690">
        <f t="shared" si="149"/>
        <v>0</v>
      </c>
      <c r="BS86" s="690" t="e">
        <f t="shared" si="150"/>
        <v>#DIV/0!</v>
      </c>
      <c r="BT86" s="690"/>
      <c r="BU86" s="164">
        <v>0</v>
      </c>
      <c r="BV86" s="1034" t="str">
        <f>+AN86</f>
        <v>Dar cumplimiento al modelo integrado de planeación y gestión</v>
      </c>
      <c r="BW86" s="691">
        <v>0</v>
      </c>
      <c r="BX86" s="695"/>
      <c r="BY86" s="695"/>
      <c r="BZ86" s="698" t="e">
        <f t="shared" si="152"/>
        <v>#DIV/0!</v>
      </c>
      <c r="CA86" s="698" t="e">
        <f t="shared" si="153"/>
        <v>#DIV/0!</v>
      </c>
      <c r="CB86" s="698">
        <f t="shared" si="154"/>
        <v>0</v>
      </c>
      <c r="CC86" s="698" t="e">
        <f t="shared" si="155"/>
        <v>#DIV/0!</v>
      </c>
      <c r="CD86" s="698"/>
      <c r="CE86" s="697" t="str">
        <f t="shared" si="156"/>
        <v>No Prog ni Ejec</v>
      </c>
      <c r="CF86" s="697" t="str">
        <f t="shared" si="157"/>
        <v>No Prog ni Ejec</v>
      </c>
      <c r="CG86" s="697" t="str">
        <f t="shared" si="158"/>
        <v>No Prog ni Ejec</v>
      </c>
      <c r="CH86" s="697" t="str">
        <f t="shared" si="159"/>
        <v>No Prog ni Ejec</v>
      </c>
      <c r="CI86" s="697">
        <f t="shared" si="160"/>
        <v>0</v>
      </c>
      <c r="CJ86" s="697" t="str">
        <f t="shared" si="161"/>
        <v>No Prog ni Ejec</v>
      </c>
      <c r="CK86" s="697" t="str">
        <f t="shared" si="162"/>
        <v>No Prog ni Ejec</v>
      </c>
      <c r="CL86" s="786" t="str">
        <f t="shared" si="163"/>
        <v>No Prog ni Ejec</v>
      </c>
      <c r="CM86" s="136">
        <f t="shared" si="133"/>
        <v>0</v>
      </c>
      <c r="CU86" s="70">
        <v>4</v>
      </c>
    </row>
    <row r="87" spans="1:106" s="70" customFormat="1" ht="102.75" hidden="1" customHeight="1" x14ac:dyDescent="0.2">
      <c r="A87" s="785">
        <v>11700</v>
      </c>
      <c r="B87" s="693" t="s">
        <v>14</v>
      </c>
      <c r="C87" s="724" t="s">
        <v>502</v>
      </c>
      <c r="D87" s="724"/>
      <c r="E87" s="724"/>
      <c r="F87" s="724"/>
      <c r="G87" s="724" t="s">
        <v>1023</v>
      </c>
      <c r="H87" s="724"/>
      <c r="I87" s="724"/>
      <c r="J87" s="724"/>
      <c r="K87" s="724"/>
      <c r="L87" s="724" t="s">
        <v>1023</v>
      </c>
      <c r="M87" s="724"/>
      <c r="N87" s="724"/>
      <c r="O87" s="724"/>
      <c r="P87" s="724"/>
      <c r="Q87" s="693" t="s">
        <v>204</v>
      </c>
      <c r="R87" s="693" t="s">
        <v>204</v>
      </c>
      <c r="S87" s="695" t="s">
        <v>238</v>
      </c>
      <c r="T87" s="693" t="s">
        <v>94</v>
      </c>
      <c r="U87" s="693" t="s">
        <v>204</v>
      </c>
      <c r="V87" s="693" t="s">
        <v>204</v>
      </c>
      <c r="W87" s="695" t="s">
        <v>1089</v>
      </c>
      <c r="X87" s="693" t="s">
        <v>767</v>
      </c>
      <c r="Y87" s="60" t="s">
        <v>408</v>
      </c>
      <c r="Z87" s="715">
        <v>1</v>
      </c>
      <c r="AA87" s="973"/>
      <c r="AB87" s="959"/>
      <c r="AC87" s="703">
        <v>0</v>
      </c>
      <c r="AD87" s="706">
        <v>1</v>
      </c>
      <c r="AE87" s="693" t="s">
        <v>16</v>
      </c>
      <c r="AF87" s="693" t="s">
        <v>21</v>
      </c>
      <c r="AG87" s="693" t="s">
        <v>204</v>
      </c>
      <c r="AH87" s="693" t="s">
        <v>638</v>
      </c>
      <c r="AI87" s="693" t="s">
        <v>77</v>
      </c>
      <c r="AJ87" s="693" t="s">
        <v>1299</v>
      </c>
      <c r="AK87" s="693" t="s">
        <v>786</v>
      </c>
      <c r="AL87" s="693" t="s">
        <v>43</v>
      </c>
      <c r="AM87" s="715">
        <v>1</v>
      </c>
      <c r="AN87" s="1034"/>
      <c r="AO87" s="703">
        <f t="shared" si="164"/>
        <v>0</v>
      </c>
      <c r="AP87" s="700" t="s">
        <v>46</v>
      </c>
      <c r="AQ87" s="715">
        <v>0</v>
      </c>
      <c r="AR87" s="1034"/>
      <c r="AS87" s="720">
        <v>0</v>
      </c>
      <c r="AT87" s="695">
        <v>0</v>
      </c>
      <c r="AU87" s="691">
        <v>0</v>
      </c>
      <c r="AV87" s="690" t="e">
        <f t="shared" si="137"/>
        <v>#DIV/0!</v>
      </c>
      <c r="AW87" s="690" t="e">
        <f t="shared" si="138"/>
        <v>#DIV/0!</v>
      </c>
      <c r="AX87" s="690">
        <f t="shared" si="139"/>
        <v>0</v>
      </c>
      <c r="AY87" s="690" t="e">
        <f t="shared" si="140"/>
        <v>#DIV/0!</v>
      </c>
      <c r="AZ87" s="524" t="s">
        <v>1343</v>
      </c>
      <c r="BA87" s="164">
        <v>1</v>
      </c>
      <c r="BB87" s="1034"/>
      <c r="BC87" s="691">
        <v>0</v>
      </c>
      <c r="BD87" s="716">
        <v>0</v>
      </c>
      <c r="BE87" s="691">
        <v>0</v>
      </c>
      <c r="BF87" s="690">
        <f t="shared" si="142"/>
        <v>0</v>
      </c>
      <c r="BG87" s="690" t="e">
        <f t="shared" si="143"/>
        <v>#DIV/0!</v>
      </c>
      <c r="BH87" s="690">
        <f t="shared" si="144"/>
        <v>0</v>
      </c>
      <c r="BI87" s="690" t="e">
        <f t="shared" si="145"/>
        <v>#DIV/0!</v>
      </c>
      <c r="BJ87" s="516" t="s">
        <v>1661</v>
      </c>
      <c r="BK87" s="164">
        <v>0</v>
      </c>
      <c r="BL87" s="1034"/>
      <c r="BM87" s="691">
        <v>0</v>
      </c>
      <c r="BN87" s="695"/>
      <c r="BO87" s="695"/>
      <c r="BP87" s="690" t="e">
        <f t="shared" si="147"/>
        <v>#DIV/0!</v>
      </c>
      <c r="BQ87" s="690" t="e">
        <f t="shared" si="148"/>
        <v>#DIV/0!</v>
      </c>
      <c r="BR87" s="690">
        <f t="shared" si="149"/>
        <v>0</v>
      </c>
      <c r="BS87" s="690" t="e">
        <f t="shared" si="150"/>
        <v>#DIV/0!</v>
      </c>
      <c r="BT87" s="690"/>
      <c r="BU87" s="164">
        <v>0</v>
      </c>
      <c r="BV87" s="1034"/>
      <c r="BW87" s="691">
        <v>0</v>
      </c>
      <c r="BX87" s="695"/>
      <c r="BY87" s="695"/>
      <c r="BZ87" s="698" t="e">
        <f t="shared" si="152"/>
        <v>#DIV/0!</v>
      </c>
      <c r="CA87" s="698" t="e">
        <f t="shared" si="153"/>
        <v>#DIV/0!</v>
      </c>
      <c r="CB87" s="698">
        <f t="shared" si="154"/>
        <v>0</v>
      </c>
      <c r="CC87" s="698" t="e">
        <f t="shared" si="155"/>
        <v>#DIV/0!</v>
      </c>
      <c r="CD87" s="698"/>
      <c r="CE87" s="697" t="str">
        <f t="shared" si="156"/>
        <v>No Prog ni Ejec</v>
      </c>
      <c r="CF87" s="697" t="str">
        <f t="shared" si="157"/>
        <v>No Prog ni Ejec</v>
      </c>
      <c r="CG87" s="697">
        <f t="shared" si="158"/>
        <v>0</v>
      </c>
      <c r="CH87" s="697" t="str">
        <f t="shared" si="159"/>
        <v>No Prog ni Ejec</v>
      </c>
      <c r="CI87" s="697" t="str">
        <f t="shared" si="160"/>
        <v>No Prog ni Ejec</v>
      </c>
      <c r="CJ87" s="697" t="str">
        <f t="shared" si="161"/>
        <v>No Prog ni Ejec</v>
      </c>
      <c r="CK87" s="697" t="str">
        <f t="shared" si="162"/>
        <v>No Prog ni Ejec</v>
      </c>
      <c r="CL87" s="786" t="str">
        <f t="shared" si="163"/>
        <v>No Prog ni Ejec</v>
      </c>
      <c r="CM87" s="136">
        <f t="shared" si="133"/>
        <v>0</v>
      </c>
      <c r="CU87" s="70">
        <v>4</v>
      </c>
    </row>
    <row r="88" spans="1:106" s="70" customFormat="1" ht="103.5" hidden="1" customHeight="1" x14ac:dyDescent="0.2">
      <c r="A88" s="785">
        <v>11700</v>
      </c>
      <c r="B88" s="693" t="s">
        <v>14</v>
      </c>
      <c r="C88" s="724" t="s">
        <v>502</v>
      </c>
      <c r="D88" s="724"/>
      <c r="E88" s="724"/>
      <c r="F88" s="724"/>
      <c r="G88" s="724" t="s">
        <v>1023</v>
      </c>
      <c r="H88" s="724"/>
      <c r="I88" s="724"/>
      <c r="J88" s="724"/>
      <c r="K88" s="724"/>
      <c r="L88" s="724" t="s">
        <v>1023</v>
      </c>
      <c r="M88" s="724"/>
      <c r="N88" s="724"/>
      <c r="O88" s="724"/>
      <c r="P88" s="724"/>
      <c r="Q88" s="693" t="s">
        <v>204</v>
      </c>
      <c r="R88" s="693" t="s">
        <v>204</v>
      </c>
      <c r="S88" s="695" t="s">
        <v>238</v>
      </c>
      <c r="T88" s="693" t="s">
        <v>94</v>
      </c>
      <c r="U88" s="693" t="s">
        <v>204</v>
      </c>
      <c r="V88" s="693" t="s">
        <v>204</v>
      </c>
      <c r="W88" s="695" t="s">
        <v>1090</v>
      </c>
      <c r="X88" s="693" t="s">
        <v>768</v>
      </c>
      <c r="Y88" s="60" t="s">
        <v>408</v>
      </c>
      <c r="Z88" s="715">
        <v>1</v>
      </c>
      <c r="AA88" s="973"/>
      <c r="AB88" s="959"/>
      <c r="AC88" s="703">
        <v>0</v>
      </c>
      <c r="AD88" s="706">
        <v>1</v>
      </c>
      <c r="AE88" s="693" t="s">
        <v>16</v>
      </c>
      <c r="AF88" s="693" t="s">
        <v>21</v>
      </c>
      <c r="AG88" s="693" t="s">
        <v>204</v>
      </c>
      <c r="AH88" s="693" t="s">
        <v>638</v>
      </c>
      <c r="AI88" s="693" t="s">
        <v>77</v>
      </c>
      <c r="AJ88" s="693" t="s">
        <v>1299</v>
      </c>
      <c r="AK88" s="693" t="s">
        <v>786</v>
      </c>
      <c r="AL88" s="693" t="s">
        <v>43</v>
      </c>
      <c r="AM88" s="715">
        <v>1</v>
      </c>
      <c r="AN88" s="1034"/>
      <c r="AO88" s="703">
        <f t="shared" si="164"/>
        <v>0</v>
      </c>
      <c r="AP88" s="700" t="s">
        <v>46</v>
      </c>
      <c r="AQ88" s="715">
        <v>0</v>
      </c>
      <c r="AR88" s="1034"/>
      <c r="AS88" s="720">
        <v>0</v>
      </c>
      <c r="AT88" s="695">
        <v>0</v>
      </c>
      <c r="AU88" s="691">
        <v>0</v>
      </c>
      <c r="AV88" s="690" t="e">
        <f t="shared" si="137"/>
        <v>#DIV/0!</v>
      </c>
      <c r="AW88" s="690" t="e">
        <f t="shared" si="138"/>
        <v>#DIV/0!</v>
      </c>
      <c r="AX88" s="690">
        <f t="shared" si="139"/>
        <v>0</v>
      </c>
      <c r="AY88" s="690" t="e">
        <f t="shared" si="140"/>
        <v>#DIV/0!</v>
      </c>
      <c r="AZ88" s="524" t="s">
        <v>1343</v>
      </c>
      <c r="BA88" s="164">
        <v>0</v>
      </c>
      <c r="BB88" s="1034"/>
      <c r="BC88" s="691">
        <v>0</v>
      </c>
      <c r="BD88" s="716">
        <v>0</v>
      </c>
      <c r="BE88" s="691">
        <v>0</v>
      </c>
      <c r="BF88" s="690" t="e">
        <f t="shared" si="142"/>
        <v>#DIV/0!</v>
      </c>
      <c r="BG88" s="690" t="e">
        <f t="shared" si="143"/>
        <v>#DIV/0!</v>
      </c>
      <c r="BH88" s="690">
        <f t="shared" si="144"/>
        <v>0</v>
      </c>
      <c r="BI88" s="690" t="e">
        <f t="shared" si="145"/>
        <v>#DIV/0!</v>
      </c>
      <c r="BJ88" s="512" t="s">
        <v>1388</v>
      </c>
      <c r="BK88" s="164">
        <v>1</v>
      </c>
      <c r="BL88" s="1034"/>
      <c r="BM88" s="691">
        <v>0</v>
      </c>
      <c r="BN88" s="695"/>
      <c r="BO88" s="695"/>
      <c r="BP88" s="690">
        <f t="shared" si="147"/>
        <v>0</v>
      </c>
      <c r="BQ88" s="690" t="e">
        <f t="shared" si="148"/>
        <v>#DIV/0!</v>
      </c>
      <c r="BR88" s="690">
        <f t="shared" si="149"/>
        <v>0</v>
      </c>
      <c r="BS88" s="690" t="e">
        <f t="shared" si="150"/>
        <v>#DIV/0!</v>
      </c>
      <c r="BT88" s="690"/>
      <c r="BU88" s="164">
        <v>0</v>
      </c>
      <c r="BV88" s="1034"/>
      <c r="BW88" s="691">
        <v>0</v>
      </c>
      <c r="BX88" s="695"/>
      <c r="BY88" s="695"/>
      <c r="BZ88" s="698" t="e">
        <f t="shared" si="152"/>
        <v>#DIV/0!</v>
      </c>
      <c r="CA88" s="698" t="e">
        <f t="shared" si="153"/>
        <v>#DIV/0!</v>
      </c>
      <c r="CB88" s="698">
        <f t="shared" si="154"/>
        <v>0</v>
      </c>
      <c r="CC88" s="698" t="e">
        <f t="shared" si="155"/>
        <v>#DIV/0!</v>
      </c>
      <c r="CD88" s="698"/>
      <c r="CE88" s="697" t="str">
        <f t="shared" si="156"/>
        <v>No Prog ni Ejec</v>
      </c>
      <c r="CF88" s="697" t="str">
        <f t="shared" si="157"/>
        <v>No Prog ni Ejec</v>
      </c>
      <c r="CG88" s="697" t="str">
        <f t="shared" si="158"/>
        <v>No Prog ni Ejec</v>
      </c>
      <c r="CH88" s="697" t="str">
        <f t="shared" si="159"/>
        <v>No Prog ni Ejec</v>
      </c>
      <c r="CI88" s="697">
        <f t="shared" si="160"/>
        <v>0</v>
      </c>
      <c r="CJ88" s="697" t="str">
        <f t="shared" si="161"/>
        <v>No Prog ni Ejec</v>
      </c>
      <c r="CK88" s="697" t="str">
        <f t="shared" si="162"/>
        <v>No Prog ni Ejec</v>
      </c>
      <c r="CL88" s="786" t="str">
        <f t="shared" si="163"/>
        <v>No Prog ni Ejec</v>
      </c>
      <c r="CM88" s="136">
        <f t="shared" si="133"/>
        <v>0</v>
      </c>
      <c r="CU88" s="70">
        <v>4</v>
      </c>
    </row>
    <row r="89" spans="1:106" s="70" customFormat="1" ht="102" hidden="1" customHeight="1" x14ac:dyDescent="0.2">
      <c r="A89" s="785">
        <v>11700</v>
      </c>
      <c r="B89" s="693" t="s">
        <v>14</v>
      </c>
      <c r="C89" s="724" t="s">
        <v>502</v>
      </c>
      <c r="D89" s="724"/>
      <c r="E89" s="724"/>
      <c r="F89" s="724"/>
      <c r="G89" s="724" t="s">
        <v>1023</v>
      </c>
      <c r="H89" s="724"/>
      <c r="I89" s="724"/>
      <c r="J89" s="724"/>
      <c r="K89" s="724"/>
      <c r="L89" s="724" t="s">
        <v>1023</v>
      </c>
      <c r="M89" s="724"/>
      <c r="N89" s="724"/>
      <c r="O89" s="724"/>
      <c r="P89" s="724"/>
      <c r="Q89" s="693" t="s">
        <v>204</v>
      </c>
      <c r="R89" s="693" t="s">
        <v>204</v>
      </c>
      <c r="S89" s="695" t="s">
        <v>238</v>
      </c>
      <c r="T89" s="693" t="s">
        <v>94</v>
      </c>
      <c r="U89" s="693" t="s">
        <v>204</v>
      </c>
      <c r="V89" s="693" t="s">
        <v>204</v>
      </c>
      <c r="W89" s="695" t="s">
        <v>1091</v>
      </c>
      <c r="X89" s="693" t="s">
        <v>769</v>
      </c>
      <c r="Y89" s="60" t="s">
        <v>408</v>
      </c>
      <c r="Z89" s="715">
        <v>1</v>
      </c>
      <c r="AA89" s="973"/>
      <c r="AB89" s="959"/>
      <c r="AC89" s="703">
        <v>0</v>
      </c>
      <c r="AD89" s="706">
        <v>1</v>
      </c>
      <c r="AE89" s="693" t="s">
        <v>16</v>
      </c>
      <c r="AF89" s="693" t="s">
        <v>21</v>
      </c>
      <c r="AG89" s="693" t="s">
        <v>204</v>
      </c>
      <c r="AH89" s="693" t="s">
        <v>638</v>
      </c>
      <c r="AI89" s="693" t="s">
        <v>77</v>
      </c>
      <c r="AJ89" s="693" t="s">
        <v>1299</v>
      </c>
      <c r="AK89" s="693" t="s">
        <v>786</v>
      </c>
      <c r="AL89" s="693" t="s">
        <v>43</v>
      </c>
      <c r="AM89" s="715">
        <v>1</v>
      </c>
      <c r="AN89" s="1034"/>
      <c r="AO89" s="703">
        <f t="shared" si="164"/>
        <v>0</v>
      </c>
      <c r="AP89" s="700" t="s">
        <v>46</v>
      </c>
      <c r="AQ89" s="715">
        <v>0</v>
      </c>
      <c r="AR89" s="1034"/>
      <c r="AS89" s="720">
        <v>0</v>
      </c>
      <c r="AT89" s="695">
        <v>0</v>
      </c>
      <c r="AU89" s="691">
        <v>0</v>
      </c>
      <c r="AV89" s="690" t="e">
        <f t="shared" si="137"/>
        <v>#DIV/0!</v>
      </c>
      <c r="AW89" s="690" t="e">
        <f t="shared" si="138"/>
        <v>#DIV/0!</v>
      </c>
      <c r="AX89" s="690">
        <f t="shared" si="139"/>
        <v>0</v>
      </c>
      <c r="AY89" s="690" t="e">
        <f t="shared" si="140"/>
        <v>#DIV/0!</v>
      </c>
      <c r="AZ89" s="524" t="s">
        <v>1343</v>
      </c>
      <c r="BA89" s="164">
        <v>0</v>
      </c>
      <c r="BB89" s="1034"/>
      <c r="BC89" s="691">
        <v>0</v>
      </c>
      <c r="BD89" s="716">
        <v>0</v>
      </c>
      <c r="BE89" s="691">
        <v>0</v>
      </c>
      <c r="BF89" s="690" t="e">
        <f t="shared" si="142"/>
        <v>#DIV/0!</v>
      </c>
      <c r="BG89" s="690" t="e">
        <f t="shared" si="143"/>
        <v>#DIV/0!</v>
      </c>
      <c r="BH89" s="690">
        <f t="shared" si="144"/>
        <v>0</v>
      </c>
      <c r="BI89" s="690" t="e">
        <f t="shared" si="145"/>
        <v>#DIV/0!</v>
      </c>
      <c r="BJ89" s="512" t="s">
        <v>1388</v>
      </c>
      <c r="BK89" s="164">
        <v>0</v>
      </c>
      <c r="BL89" s="1034"/>
      <c r="BM89" s="691">
        <v>0</v>
      </c>
      <c r="BN89" s="695"/>
      <c r="BO89" s="695"/>
      <c r="BP89" s="690" t="e">
        <f t="shared" si="147"/>
        <v>#DIV/0!</v>
      </c>
      <c r="BQ89" s="690" t="e">
        <f t="shared" si="148"/>
        <v>#DIV/0!</v>
      </c>
      <c r="BR89" s="690">
        <f t="shared" si="149"/>
        <v>0</v>
      </c>
      <c r="BS89" s="690" t="e">
        <f t="shared" si="150"/>
        <v>#DIV/0!</v>
      </c>
      <c r="BT89" s="690"/>
      <c r="BU89" s="164">
        <v>1</v>
      </c>
      <c r="BV89" s="1034"/>
      <c r="BW89" s="691">
        <v>0</v>
      </c>
      <c r="BX89" s="695"/>
      <c r="BY89" s="695"/>
      <c r="BZ89" s="698">
        <f t="shared" si="152"/>
        <v>0</v>
      </c>
      <c r="CA89" s="698" t="e">
        <f t="shared" si="153"/>
        <v>#DIV/0!</v>
      </c>
      <c r="CB89" s="698">
        <f t="shared" si="154"/>
        <v>0</v>
      </c>
      <c r="CC89" s="698" t="e">
        <f t="shared" si="155"/>
        <v>#DIV/0!</v>
      </c>
      <c r="CD89" s="698"/>
      <c r="CE89" s="697" t="str">
        <f t="shared" si="156"/>
        <v>No Prog ni Ejec</v>
      </c>
      <c r="CF89" s="697" t="str">
        <f t="shared" si="157"/>
        <v>No Prog ni Ejec</v>
      </c>
      <c r="CG89" s="697" t="str">
        <f t="shared" si="158"/>
        <v>No Prog ni Ejec</v>
      </c>
      <c r="CH89" s="697" t="str">
        <f t="shared" si="159"/>
        <v>No Prog ni Ejec</v>
      </c>
      <c r="CI89" s="697" t="str">
        <f t="shared" si="160"/>
        <v>No Prog ni Ejec</v>
      </c>
      <c r="CJ89" s="697" t="str">
        <f t="shared" si="161"/>
        <v>No Prog ni Ejec</v>
      </c>
      <c r="CK89" s="697">
        <f t="shared" si="162"/>
        <v>0</v>
      </c>
      <c r="CL89" s="786" t="str">
        <f t="shared" si="163"/>
        <v>No Prog ni Ejec</v>
      </c>
      <c r="CM89" s="136">
        <f t="shared" si="133"/>
        <v>0</v>
      </c>
      <c r="CU89" s="70">
        <v>4</v>
      </c>
    </row>
    <row r="90" spans="1:106" s="70" customFormat="1" ht="117" hidden="1" customHeight="1" x14ac:dyDescent="0.2">
      <c r="A90" s="785">
        <v>11700</v>
      </c>
      <c r="B90" s="693" t="s">
        <v>14</v>
      </c>
      <c r="C90" s="724" t="s">
        <v>502</v>
      </c>
      <c r="D90" s="724"/>
      <c r="E90" s="724"/>
      <c r="F90" s="724"/>
      <c r="G90" s="724" t="s">
        <v>1023</v>
      </c>
      <c r="H90" s="724"/>
      <c r="I90" s="724"/>
      <c r="J90" s="724"/>
      <c r="K90" s="724"/>
      <c r="L90" s="724" t="s">
        <v>1023</v>
      </c>
      <c r="M90" s="724"/>
      <c r="N90" s="724"/>
      <c r="O90" s="724"/>
      <c r="P90" s="724"/>
      <c r="Q90" s="693" t="s">
        <v>204</v>
      </c>
      <c r="R90" s="693" t="s">
        <v>204</v>
      </c>
      <c r="S90" s="695" t="s">
        <v>238</v>
      </c>
      <c r="T90" s="693" t="s">
        <v>94</v>
      </c>
      <c r="U90" s="693" t="s">
        <v>204</v>
      </c>
      <c r="V90" s="693" t="s">
        <v>204</v>
      </c>
      <c r="W90" s="695" t="s">
        <v>1092</v>
      </c>
      <c r="X90" s="693" t="s">
        <v>770</v>
      </c>
      <c r="Y90" s="60" t="s">
        <v>408</v>
      </c>
      <c r="Z90" s="715">
        <v>1</v>
      </c>
      <c r="AA90" s="973"/>
      <c r="AB90" s="959"/>
      <c r="AC90" s="703">
        <v>0</v>
      </c>
      <c r="AD90" s="706">
        <v>1</v>
      </c>
      <c r="AE90" s="693" t="s">
        <v>16</v>
      </c>
      <c r="AF90" s="693" t="s">
        <v>21</v>
      </c>
      <c r="AG90" s="693" t="s">
        <v>204</v>
      </c>
      <c r="AH90" s="693" t="s">
        <v>638</v>
      </c>
      <c r="AI90" s="693" t="s">
        <v>77</v>
      </c>
      <c r="AJ90" s="693" t="s">
        <v>1299</v>
      </c>
      <c r="AK90" s="693" t="s">
        <v>786</v>
      </c>
      <c r="AL90" s="693" t="s">
        <v>43</v>
      </c>
      <c r="AM90" s="715">
        <v>1</v>
      </c>
      <c r="AN90" s="1034"/>
      <c r="AO90" s="703">
        <f t="shared" si="164"/>
        <v>0</v>
      </c>
      <c r="AP90" s="700" t="s">
        <v>46</v>
      </c>
      <c r="AQ90" s="715">
        <v>0</v>
      </c>
      <c r="AR90" s="1034"/>
      <c r="AS90" s="720">
        <v>0</v>
      </c>
      <c r="AT90" s="695">
        <v>0</v>
      </c>
      <c r="AU90" s="691">
        <v>0</v>
      </c>
      <c r="AV90" s="690" t="e">
        <f t="shared" si="137"/>
        <v>#DIV/0!</v>
      </c>
      <c r="AW90" s="690" t="e">
        <f t="shared" si="138"/>
        <v>#DIV/0!</v>
      </c>
      <c r="AX90" s="690">
        <f t="shared" si="139"/>
        <v>0</v>
      </c>
      <c r="AY90" s="690" t="e">
        <f t="shared" si="140"/>
        <v>#DIV/0!</v>
      </c>
      <c r="AZ90" s="524" t="s">
        <v>1343</v>
      </c>
      <c r="BA90" s="164">
        <v>0</v>
      </c>
      <c r="BB90" s="1034"/>
      <c r="BC90" s="691">
        <v>0</v>
      </c>
      <c r="BD90" s="716">
        <v>0</v>
      </c>
      <c r="BE90" s="691">
        <v>0</v>
      </c>
      <c r="BF90" s="690" t="e">
        <f t="shared" si="142"/>
        <v>#DIV/0!</v>
      </c>
      <c r="BG90" s="690" t="e">
        <f t="shared" si="143"/>
        <v>#DIV/0!</v>
      </c>
      <c r="BH90" s="690">
        <f t="shared" si="144"/>
        <v>0</v>
      </c>
      <c r="BI90" s="690" t="e">
        <f t="shared" si="145"/>
        <v>#DIV/0!</v>
      </c>
      <c r="BJ90" s="512" t="s">
        <v>1388</v>
      </c>
      <c r="BK90" s="164">
        <v>0</v>
      </c>
      <c r="BL90" s="1034"/>
      <c r="BM90" s="691">
        <v>0</v>
      </c>
      <c r="BN90" s="695"/>
      <c r="BO90" s="695"/>
      <c r="BP90" s="690" t="e">
        <f t="shared" si="147"/>
        <v>#DIV/0!</v>
      </c>
      <c r="BQ90" s="690" t="e">
        <f t="shared" si="148"/>
        <v>#DIV/0!</v>
      </c>
      <c r="BR90" s="690">
        <f t="shared" si="149"/>
        <v>0</v>
      </c>
      <c r="BS90" s="690" t="e">
        <f t="shared" si="150"/>
        <v>#DIV/0!</v>
      </c>
      <c r="BT90" s="690"/>
      <c r="BU90" s="164">
        <v>1</v>
      </c>
      <c r="BV90" s="1034"/>
      <c r="BW90" s="691">
        <v>0</v>
      </c>
      <c r="BX90" s="695"/>
      <c r="BY90" s="695"/>
      <c r="BZ90" s="698">
        <f t="shared" si="152"/>
        <v>0</v>
      </c>
      <c r="CA90" s="698" t="e">
        <f t="shared" si="153"/>
        <v>#DIV/0!</v>
      </c>
      <c r="CB90" s="698">
        <f t="shared" si="154"/>
        <v>0</v>
      </c>
      <c r="CC90" s="698" t="e">
        <f t="shared" si="155"/>
        <v>#DIV/0!</v>
      </c>
      <c r="CD90" s="698"/>
      <c r="CE90" s="697" t="str">
        <f t="shared" si="156"/>
        <v>No Prog ni Ejec</v>
      </c>
      <c r="CF90" s="697" t="str">
        <f t="shared" si="157"/>
        <v>No Prog ni Ejec</v>
      </c>
      <c r="CG90" s="697" t="str">
        <f t="shared" si="158"/>
        <v>No Prog ni Ejec</v>
      </c>
      <c r="CH90" s="697" t="str">
        <f t="shared" si="159"/>
        <v>No Prog ni Ejec</v>
      </c>
      <c r="CI90" s="697" t="str">
        <f t="shared" si="160"/>
        <v>No Prog ni Ejec</v>
      </c>
      <c r="CJ90" s="697" t="str">
        <f t="shared" si="161"/>
        <v>No Prog ni Ejec</v>
      </c>
      <c r="CK90" s="697">
        <f t="shared" si="162"/>
        <v>0</v>
      </c>
      <c r="CL90" s="786" t="str">
        <f t="shared" si="163"/>
        <v>No Prog ni Ejec</v>
      </c>
      <c r="CM90" s="136">
        <f t="shared" si="133"/>
        <v>0</v>
      </c>
      <c r="CU90" s="70">
        <v>4</v>
      </c>
    </row>
    <row r="91" spans="1:106" s="70" customFormat="1" ht="89.25" hidden="1" customHeight="1" x14ac:dyDescent="0.2">
      <c r="A91" s="785">
        <v>11700</v>
      </c>
      <c r="B91" s="693" t="s">
        <v>14</v>
      </c>
      <c r="C91" s="724" t="s">
        <v>502</v>
      </c>
      <c r="D91" s="724"/>
      <c r="E91" s="724"/>
      <c r="F91" s="724"/>
      <c r="G91" s="724" t="s">
        <v>1023</v>
      </c>
      <c r="H91" s="724"/>
      <c r="I91" s="724"/>
      <c r="J91" s="724"/>
      <c r="K91" s="724"/>
      <c r="L91" s="724" t="s">
        <v>1023</v>
      </c>
      <c r="M91" s="724"/>
      <c r="N91" s="724"/>
      <c r="O91" s="724"/>
      <c r="P91" s="724"/>
      <c r="Q91" s="693" t="s">
        <v>204</v>
      </c>
      <c r="R91" s="693" t="s">
        <v>204</v>
      </c>
      <c r="S91" s="695" t="s">
        <v>238</v>
      </c>
      <c r="T91" s="693" t="s">
        <v>94</v>
      </c>
      <c r="U91" s="693" t="s">
        <v>204</v>
      </c>
      <c r="V91" s="693" t="s">
        <v>204</v>
      </c>
      <c r="W91" s="695" t="s">
        <v>1093</v>
      </c>
      <c r="X91" s="693" t="s">
        <v>771</v>
      </c>
      <c r="Y91" s="60" t="s">
        <v>408</v>
      </c>
      <c r="Z91" s="715">
        <v>1</v>
      </c>
      <c r="AA91" s="973"/>
      <c r="AB91" s="959"/>
      <c r="AC91" s="703">
        <v>0</v>
      </c>
      <c r="AD91" s="706">
        <v>1</v>
      </c>
      <c r="AE91" s="693" t="s">
        <v>16</v>
      </c>
      <c r="AF91" s="693" t="s">
        <v>21</v>
      </c>
      <c r="AG91" s="693" t="s">
        <v>204</v>
      </c>
      <c r="AH91" s="693" t="s">
        <v>638</v>
      </c>
      <c r="AI91" s="693" t="s">
        <v>77</v>
      </c>
      <c r="AJ91" s="693" t="s">
        <v>1299</v>
      </c>
      <c r="AK91" s="693" t="s">
        <v>786</v>
      </c>
      <c r="AL91" s="693" t="s">
        <v>43</v>
      </c>
      <c r="AM91" s="715">
        <v>1</v>
      </c>
      <c r="AN91" s="1034"/>
      <c r="AO91" s="703">
        <f t="shared" si="164"/>
        <v>0</v>
      </c>
      <c r="AP91" s="700" t="s">
        <v>46</v>
      </c>
      <c r="AQ91" s="715">
        <v>0</v>
      </c>
      <c r="AR91" s="1034"/>
      <c r="AS91" s="720">
        <v>0</v>
      </c>
      <c r="AT91" s="695">
        <v>0</v>
      </c>
      <c r="AU91" s="691">
        <v>0</v>
      </c>
      <c r="AV91" s="690" t="e">
        <f t="shared" si="137"/>
        <v>#DIV/0!</v>
      </c>
      <c r="AW91" s="690" t="e">
        <f t="shared" si="138"/>
        <v>#DIV/0!</v>
      </c>
      <c r="AX91" s="690">
        <f t="shared" si="139"/>
        <v>0</v>
      </c>
      <c r="AY91" s="690" t="e">
        <f t="shared" si="140"/>
        <v>#DIV/0!</v>
      </c>
      <c r="AZ91" s="524" t="s">
        <v>1343</v>
      </c>
      <c r="BA91" s="164">
        <v>0</v>
      </c>
      <c r="BB91" s="1034"/>
      <c r="BC91" s="691">
        <v>0</v>
      </c>
      <c r="BD91" s="716">
        <v>0</v>
      </c>
      <c r="BE91" s="691">
        <v>0</v>
      </c>
      <c r="BF91" s="690" t="e">
        <f t="shared" si="142"/>
        <v>#DIV/0!</v>
      </c>
      <c r="BG91" s="690" t="e">
        <f t="shared" si="143"/>
        <v>#DIV/0!</v>
      </c>
      <c r="BH91" s="690">
        <f t="shared" si="144"/>
        <v>0</v>
      </c>
      <c r="BI91" s="690" t="e">
        <f t="shared" si="145"/>
        <v>#DIV/0!</v>
      </c>
      <c r="BJ91" s="512" t="s">
        <v>1388</v>
      </c>
      <c r="BK91" s="164">
        <v>1</v>
      </c>
      <c r="BL91" s="1034"/>
      <c r="BM91" s="691">
        <v>0</v>
      </c>
      <c r="BN91" s="695"/>
      <c r="BO91" s="695"/>
      <c r="BP91" s="690">
        <f t="shared" si="147"/>
        <v>0</v>
      </c>
      <c r="BQ91" s="690" t="e">
        <f t="shared" si="148"/>
        <v>#DIV/0!</v>
      </c>
      <c r="BR91" s="690">
        <f t="shared" si="149"/>
        <v>0</v>
      </c>
      <c r="BS91" s="690" t="e">
        <f t="shared" si="150"/>
        <v>#DIV/0!</v>
      </c>
      <c r="BT91" s="690"/>
      <c r="BU91" s="164">
        <v>0</v>
      </c>
      <c r="BV91" s="1034"/>
      <c r="BW91" s="691">
        <v>0</v>
      </c>
      <c r="BX91" s="695"/>
      <c r="BY91" s="695"/>
      <c r="BZ91" s="698" t="e">
        <f t="shared" si="152"/>
        <v>#DIV/0!</v>
      </c>
      <c r="CA91" s="698" t="e">
        <f t="shared" si="153"/>
        <v>#DIV/0!</v>
      </c>
      <c r="CB91" s="698">
        <f t="shared" si="154"/>
        <v>0</v>
      </c>
      <c r="CC91" s="698" t="e">
        <f t="shared" si="155"/>
        <v>#DIV/0!</v>
      </c>
      <c r="CD91" s="698"/>
      <c r="CE91" s="697" t="str">
        <f t="shared" si="156"/>
        <v>No Prog ni Ejec</v>
      </c>
      <c r="CF91" s="697" t="str">
        <f t="shared" si="157"/>
        <v>No Prog ni Ejec</v>
      </c>
      <c r="CG91" s="697" t="str">
        <f t="shared" si="158"/>
        <v>No Prog ni Ejec</v>
      </c>
      <c r="CH91" s="697" t="str">
        <f t="shared" si="159"/>
        <v>No Prog ni Ejec</v>
      </c>
      <c r="CI91" s="697">
        <f t="shared" si="160"/>
        <v>0</v>
      </c>
      <c r="CJ91" s="697" t="str">
        <f t="shared" si="161"/>
        <v>No Prog ni Ejec</v>
      </c>
      <c r="CK91" s="697" t="str">
        <f t="shared" si="162"/>
        <v>No Prog ni Ejec</v>
      </c>
      <c r="CL91" s="786" t="str">
        <f t="shared" si="163"/>
        <v>No Prog ni Ejec</v>
      </c>
      <c r="CM91" s="136">
        <f t="shared" si="133"/>
        <v>0</v>
      </c>
      <c r="CU91" s="70">
        <v>4</v>
      </c>
    </row>
    <row r="92" spans="1:106" s="70" customFormat="1" ht="99.75" hidden="1" customHeight="1" x14ac:dyDescent="0.2">
      <c r="A92" s="785">
        <v>11700</v>
      </c>
      <c r="B92" s="693" t="s">
        <v>14</v>
      </c>
      <c r="C92" s="724" t="s">
        <v>502</v>
      </c>
      <c r="D92" s="724"/>
      <c r="E92" s="724"/>
      <c r="F92" s="724"/>
      <c r="G92" s="724" t="s">
        <v>1023</v>
      </c>
      <c r="H92" s="724"/>
      <c r="I92" s="724"/>
      <c r="J92" s="724"/>
      <c r="K92" s="724"/>
      <c r="L92" s="724" t="s">
        <v>1023</v>
      </c>
      <c r="M92" s="724"/>
      <c r="N92" s="724"/>
      <c r="O92" s="724"/>
      <c r="P92" s="724"/>
      <c r="Q92" s="693" t="s">
        <v>204</v>
      </c>
      <c r="R92" s="693" t="s">
        <v>204</v>
      </c>
      <c r="S92" s="695" t="s">
        <v>238</v>
      </c>
      <c r="T92" s="693" t="s">
        <v>94</v>
      </c>
      <c r="U92" s="693" t="s">
        <v>204</v>
      </c>
      <c r="V92" s="693" t="s">
        <v>204</v>
      </c>
      <c r="W92" s="695" t="s">
        <v>805</v>
      </c>
      <c r="X92" s="693" t="s">
        <v>772</v>
      </c>
      <c r="Y92" s="60" t="s">
        <v>408</v>
      </c>
      <c r="Z92" s="715">
        <v>4</v>
      </c>
      <c r="AA92" s="968" t="s">
        <v>795</v>
      </c>
      <c r="AB92" s="959" t="s">
        <v>785</v>
      </c>
      <c r="AC92" s="703">
        <v>0</v>
      </c>
      <c r="AD92" s="706">
        <v>1</v>
      </c>
      <c r="AE92" s="693" t="s">
        <v>16</v>
      </c>
      <c r="AF92" s="693" t="s">
        <v>21</v>
      </c>
      <c r="AG92" s="693" t="s">
        <v>204</v>
      </c>
      <c r="AH92" s="693" t="s">
        <v>638</v>
      </c>
      <c r="AI92" s="693" t="s">
        <v>77</v>
      </c>
      <c r="AJ92" s="693" t="s">
        <v>1299</v>
      </c>
      <c r="AK92" s="693" t="s">
        <v>787</v>
      </c>
      <c r="AL92" s="693" t="s">
        <v>43</v>
      </c>
      <c r="AM92" s="715">
        <v>4</v>
      </c>
      <c r="AN92" s="959" t="str">
        <f>+AB92</f>
        <v>Dar cumplimiento al Decreto 1083 de 2015 "Por medio del cual se expide el Decreto único reglamentario del Sector de Función Publica</v>
      </c>
      <c r="AO92" s="703">
        <f t="shared" si="164"/>
        <v>0</v>
      </c>
      <c r="AP92" s="700" t="s">
        <v>46</v>
      </c>
      <c r="AQ92" s="715">
        <v>1</v>
      </c>
      <c r="AR92" s="959" t="str">
        <f t="shared" si="136"/>
        <v>Dar cumplimiento al Decreto 1083 de 2015 "Por medio del cual se expide el Decreto único reglamentario del Sector de Función Publica</v>
      </c>
      <c r="AS92" s="720">
        <v>0</v>
      </c>
      <c r="AT92" s="491">
        <v>1</v>
      </c>
      <c r="AU92" s="709">
        <v>0</v>
      </c>
      <c r="AV92" s="690">
        <f t="shared" si="137"/>
        <v>1</v>
      </c>
      <c r="AW92" s="690" t="e">
        <f t="shared" si="138"/>
        <v>#DIV/0!</v>
      </c>
      <c r="AX92" s="690">
        <f t="shared" si="139"/>
        <v>0.25</v>
      </c>
      <c r="AY92" s="690" t="e">
        <f t="shared" si="140"/>
        <v>#DIV/0!</v>
      </c>
      <c r="AZ92" s="490" t="s">
        <v>1642</v>
      </c>
      <c r="BA92" s="715">
        <v>1</v>
      </c>
      <c r="BB92" s="959" t="str">
        <f t="shared" si="141"/>
        <v>Dar cumplimiento al Decreto 1083 de 2015 "Por medio del cual se expide el Decreto único reglamentario del Sector de Función Publica</v>
      </c>
      <c r="BC92" s="720">
        <f>+AO92</f>
        <v>0</v>
      </c>
      <c r="BD92" s="716">
        <v>1</v>
      </c>
      <c r="BE92" s="691">
        <v>0</v>
      </c>
      <c r="BF92" s="690">
        <f t="shared" si="142"/>
        <v>1</v>
      </c>
      <c r="BG92" s="690" t="e">
        <f t="shared" si="143"/>
        <v>#DIV/0!</v>
      </c>
      <c r="BH92" s="690">
        <f t="shared" si="144"/>
        <v>0.5</v>
      </c>
      <c r="BI92" s="690" t="e">
        <f t="shared" si="145"/>
        <v>#DIV/0!</v>
      </c>
      <c r="BJ92" s="516" t="s">
        <v>1662</v>
      </c>
      <c r="BK92" s="715">
        <v>1</v>
      </c>
      <c r="BL92" s="959" t="str">
        <f t="shared" si="146"/>
        <v>Dar cumplimiento al Decreto 1083 de 2015 "Por medio del cual se expide el Decreto único reglamentario del Sector de Función Publica</v>
      </c>
      <c r="BM92" s="720">
        <f>+AO92</f>
        <v>0</v>
      </c>
      <c r="BN92" s="695"/>
      <c r="BO92" s="695"/>
      <c r="BP92" s="690">
        <f t="shared" si="147"/>
        <v>0</v>
      </c>
      <c r="BQ92" s="690" t="e">
        <f t="shared" si="148"/>
        <v>#DIV/0!</v>
      </c>
      <c r="BR92" s="690">
        <f t="shared" si="149"/>
        <v>0.5</v>
      </c>
      <c r="BS92" s="690" t="e">
        <f t="shared" si="150"/>
        <v>#DIV/0!</v>
      </c>
      <c r="BT92" s="690"/>
      <c r="BU92" s="715">
        <v>1</v>
      </c>
      <c r="BV92" s="959" t="str">
        <f t="shared" si="151"/>
        <v>Dar cumplimiento al Decreto 1083 de 2015 "Por medio del cual se expide el Decreto único reglamentario del Sector de Función Publica</v>
      </c>
      <c r="BW92" s="720">
        <f>+AO92</f>
        <v>0</v>
      </c>
      <c r="BX92" s="695"/>
      <c r="BY92" s="695"/>
      <c r="BZ92" s="698">
        <f t="shared" si="152"/>
        <v>0</v>
      </c>
      <c r="CA92" s="698" t="e">
        <f t="shared" si="153"/>
        <v>#DIV/0!</v>
      </c>
      <c r="CB92" s="698">
        <f t="shared" si="154"/>
        <v>0.5</v>
      </c>
      <c r="CC92" s="698" t="e">
        <f t="shared" si="155"/>
        <v>#DIV/0!</v>
      </c>
      <c r="CD92" s="698"/>
      <c r="CE92" s="697">
        <f t="shared" si="156"/>
        <v>1</v>
      </c>
      <c r="CF92" s="697" t="str">
        <f t="shared" si="157"/>
        <v>No Prog ni Ejec</v>
      </c>
      <c r="CG92" s="697">
        <f t="shared" si="158"/>
        <v>1</v>
      </c>
      <c r="CH92" s="697" t="str">
        <f t="shared" si="159"/>
        <v>No Prog ni Ejec</v>
      </c>
      <c r="CI92" s="697">
        <f t="shared" si="160"/>
        <v>0</v>
      </c>
      <c r="CJ92" s="697" t="str">
        <f t="shared" si="161"/>
        <v>No Prog ni Ejec</v>
      </c>
      <c r="CK92" s="697">
        <f t="shared" si="162"/>
        <v>0</v>
      </c>
      <c r="CL92" s="786" t="str">
        <f t="shared" si="163"/>
        <v>No Prog ni Ejec</v>
      </c>
      <c r="CM92" s="136">
        <f t="shared" si="133"/>
        <v>0</v>
      </c>
      <c r="CU92" s="70">
        <v>4</v>
      </c>
    </row>
    <row r="93" spans="1:106" s="70" customFormat="1" ht="104.25" hidden="1" customHeight="1" x14ac:dyDescent="0.2">
      <c r="A93" s="785">
        <v>11700</v>
      </c>
      <c r="B93" s="693" t="s">
        <v>14</v>
      </c>
      <c r="C93" s="724" t="s">
        <v>502</v>
      </c>
      <c r="D93" s="724"/>
      <c r="E93" s="724"/>
      <c r="F93" s="724"/>
      <c r="G93" s="724" t="s">
        <v>1023</v>
      </c>
      <c r="H93" s="724"/>
      <c r="I93" s="724"/>
      <c r="J93" s="724"/>
      <c r="K93" s="724"/>
      <c r="L93" s="724" t="s">
        <v>1023</v>
      </c>
      <c r="M93" s="724"/>
      <c r="N93" s="724"/>
      <c r="O93" s="724"/>
      <c r="P93" s="724"/>
      <c r="Q93" s="693" t="s">
        <v>204</v>
      </c>
      <c r="R93" s="693" t="s">
        <v>204</v>
      </c>
      <c r="S93" s="695" t="s">
        <v>238</v>
      </c>
      <c r="T93" s="693" t="s">
        <v>94</v>
      </c>
      <c r="U93" s="693" t="s">
        <v>204</v>
      </c>
      <c r="V93" s="693" t="s">
        <v>204</v>
      </c>
      <c r="W93" s="695" t="s">
        <v>1094</v>
      </c>
      <c r="X93" s="693" t="s">
        <v>773</v>
      </c>
      <c r="Y93" s="60" t="s">
        <v>408</v>
      </c>
      <c r="Z93" s="715">
        <v>1</v>
      </c>
      <c r="AA93" s="968"/>
      <c r="AB93" s="959"/>
      <c r="AC93" s="703">
        <v>0</v>
      </c>
      <c r="AD93" s="706">
        <v>1</v>
      </c>
      <c r="AE93" s="693" t="s">
        <v>16</v>
      </c>
      <c r="AF93" s="693" t="s">
        <v>21</v>
      </c>
      <c r="AG93" s="693" t="s">
        <v>204</v>
      </c>
      <c r="AH93" s="693" t="s">
        <v>638</v>
      </c>
      <c r="AI93" s="693" t="s">
        <v>77</v>
      </c>
      <c r="AJ93" s="693" t="s">
        <v>1299</v>
      </c>
      <c r="AK93" s="693" t="s">
        <v>788</v>
      </c>
      <c r="AL93" s="693" t="s">
        <v>43</v>
      </c>
      <c r="AM93" s="715">
        <v>1</v>
      </c>
      <c r="AN93" s="959"/>
      <c r="AO93" s="703">
        <f t="shared" si="164"/>
        <v>0</v>
      </c>
      <c r="AP93" s="700" t="s">
        <v>46</v>
      </c>
      <c r="AQ93" s="715">
        <v>0</v>
      </c>
      <c r="AR93" s="959"/>
      <c r="AS93" s="720">
        <v>0</v>
      </c>
      <c r="AT93" s="695">
        <v>0</v>
      </c>
      <c r="AU93" s="691">
        <v>0</v>
      </c>
      <c r="AV93" s="690" t="e">
        <f t="shared" si="137"/>
        <v>#DIV/0!</v>
      </c>
      <c r="AW93" s="690" t="e">
        <f t="shared" si="138"/>
        <v>#DIV/0!</v>
      </c>
      <c r="AX93" s="690">
        <f t="shared" si="139"/>
        <v>0</v>
      </c>
      <c r="AY93" s="690" t="e">
        <f t="shared" si="140"/>
        <v>#DIV/0!</v>
      </c>
      <c r="AZ93" s="524" t="s">
        <v>1343</v>
      </c>
      <c r="BA93" s="715">
        <v>0</v>
      </c>
      <c r="BB93" s="959"/>
      <c r="BC93" s="720">
        <f>+AO93</f>
        <v>0</v>
      </c>
      <c r="BD93" s="716">
        <v>0</v>
      </c>
      <c r="BE93" s="691">
        <v>0</v>
      </c>
      <c r="BF93" s="690" t="e">
        <f t="shared" si="142"/>
        <v>#DIV/0!</v>
      </c>
      <c r="BG93" s="690" t="e">
        <f t="shared" si="143"/>
        <v>#DIV/0!</v>
      </c>
      <c r="BH93" s="690">
        <f t="shared" si="144"/>
        <v>0</v>
      </c>
      <c r="BI93" s="690" t="e">
        <f t="shared" si="145"/>
        <v>#DIV/0!</v>
      </c>
      <c r="BJ93" s="512" t="s">
        <v>1388</v>
      </c>
      <c r="BK93" s="164">
        <v>1</v>
      </c>
      <c r="BL93" s="959"/>
      <c r="BM93" s="720">
        <f>+AO93</f>
        <v>0</v>
      </c>
      <c r="BN93" s="695"/>
      <c r="BO93" s="695"/>
      <c r="BP93" s="690">
        <f t="shared" si="147"/>
        <v>0</v>
      </c>
      <c r="BQ93" s="690" t="e">
        <f t="shared" si="148"/>
        <v>#DIV/0!</v>
      </c>
      <c r="BR93" s="690">
        <f t="shared" si="149"/>
        <v>0</v>
      </c>
      <c r="BS93" s="690" t="e">
        <f t="shared" si="150"/>
        <v>#DIV/0!</v>
      </c>
      <c r="BT93" s="690"/>
      <c r="BU93" s="715">
        <v>0</v>
      </c>
      <c r="BV93" s="959"/>
      <c r="BW93" s="720">
        <f>+AO93</f>
        <v>0</v>
      </c>
      <c r="BX93" s="695"/>
      <c r="BY93" s="695"/>
      <c r="BZ93" s="698" t="e">
        <f t="shared" si="152"/>
        <v>#DIV/0!</v>
      </c>
      <c r="CA93" s="698" t="e">
        <f t="shared" si="153"/>
        <v>#DIV/0!</v>
      </c>
      <c r="CB93" s="698">
        <f t="shared" si="154"/>
        <v>0</v>
      </c>
      <c r="CC93" s="698" t="e">
        <f t="shared" si="155"/>
        <v>#DIV/0!</v>
      </c>
      <c r="CD93" s="698"/>
      <c r="CE93" s="697" t="str">
        <f t="shared" si="156"/>
        <v>No Prog ni Ejec</v>
      </c>
      <c r="CF93" s="697" t="str">
        <f t="shared" si="157"/>
        <v>No Prog ni Ejec</v>
      </c>
      <c r="CG93" s="697" t="str">
        <f t="shared" si="158"/>
        <v>No Prog ni Ejec</v>
      </c>
      <c r="CH93" s="697" t="str">
        <f t="shared" si="159"/>
        <v>No Prog ni Ejec</v>
      </c>
      <c r="CI93" s="697">
        <f t="shared" si="160"/>
        <v>0</v>
      </c>
      <c r="CJ93" s="697" t="str">
        <f t="shared" si="161"/>
        <v>No Prog ni Ejec</v>
      </c>
      <c r="CK93" s="697" t="str">
        <f t="shared" si="162"/>
        <v>No Prog ni Ejec</v>
      </c>
      <c r="CL93" s="786" t="str">
        <f t="shared" si="163"/>
        <v>No Prog ni Ejec</v>
      </c>
      <c r="CM93" s="136">
        <f t="shared" si="133"/>
        <v>0</v>
      </c>
      <c r="CU93" s="70">
        <v>4</v>
      </c>
    </row>
    <row r="94" spans="1:106" s="70" customFormat="1" ht="89.25" hidden="1" customHeight="1" x14ac:dyDescent="0.2">
      <c r="A94" s="785">
        <v>11700</v>
      </c>
      <c r="B94" s="693" t="s">
        <v>14</v>
      </c>
      <c r="C94" s="693" t="s">
        <v>335</v>
      </c>
      <c r="D94" s="693"/>
      <c r="E94" s="693"/>
      <c r="F94" s="693" t="s">
        <v>1023</v>
      </c>
      <c r="G94" s="693"/>
      <c r="H94" s="693" t="s">
        <v>1023</v>
      </c>
      <c r="I94" s="693"/>
      <c r="J94" s="693"/>
      <c r="K94" s="693"/>
      <c r="L94" s="693" t="s">
        <v>1023</v>
      </c>
      <c r="M94" s="693"/>
      <c r="N94" s="693"/>
      <c r="O94" s="693"/>
      <c r="P94" s="693"/>
      <c r="Q94" s="693" t="s">
        <v>204</v>
      </c>
      <c r="R94" s="693" t="s">
        <v>204</v>
      </c>
      <c r="S94" s="695" t="s">
        <v>238</v>
      </c>
      <c r="T94" s="693" t="s">
        <v>94</v>
      </c>
      <c r="U94" s="693" t="s">
        <v>204</v>
      </c>
      <c r="V94" s="693" t="s">
        <v>204</v>
      </c>
      <c r="W94" s="695" t="s">
        <v>806</v>
      </c>
      <c r="X94" s="693" t="s">
        <v>822</v>
      </c>
      <c r="Y94" s="60" t="s">
        <v>408</v>
      </c>
      <c r="Z94" s="1141">
        <v>19</v>
      </c>
      <c r="AA94" s="973" t="s">
        <v>796</v>
      </c>
      <c r="AB94" s="972" t="s">
        <v>1581</v>
      </c>
      <c r="AC94" s="1137">
        <v>299390000</v>
      </c>
      <c r="AD94" s="964">
        <v>1</v>
      </c>
      <c r="AE94" s="959" t="s">
        <v>16</v>
      </c>
      <c r="AF94" s="959" t="s">
        <v>21</v>
      </c>
      <c r="AG94" s="959" t="s">
        <v>204</v>
      </c>
      <c r="AH94" s="959" t="s">
        <v>638</v>
      </c>
      <c r="AI94" s="959" t="s">
        <v>77</v>
      </c>
      <c r="AJ94" s="693" t="s">
        <v>1298</v>
      </c>
      <c r="AK94" s="1034" t="s">
        <v>831</v>
      </c>
      <c r="AL94" s="959" t="s">
        <v>43</v>
      </c>
      <c r="AM94" s="1140">
        <v>19</v>
      </c>
      <c r="AN94" s="959" t="str">
        <f>+AB94</f>
        <v>Realizar las actividades programadas en el Plan Anual Bienestar e Incentivos que implican costo a fin de fomentar la integración, respeto, tolerancia, sana competencia, esparcimiento y participación de los Servidores Públicos de la Entidad</v>
      </c>
      <c r="AO94" s="1137">
        <f>+AC94</f>
        <v>299390000</v>
      </c>
      <c r="AP94" s="700" t="s">
        <v>46</v>
      </c>
      <c r="AQ94" s="1123">
        <v>1</v>
      </c>
      <c r="AR94" s="959" t="str">
        <f>+AN94</f>
        <v>Realizar las actividades programadas en el Plan Anual Bienestar e Incentivos que implican costo a fin de fomentar la integración, respeto, tolerancia, sana competencia, esparcimiento y participación de los Servidores Públicos de la Entidad</v>
      </c>
      <c r="AS94" s="1142">
        <v>0</v>
      </c>
      <c r="AT94" s="973">
        <v>1</v>
      </c>
      <c r="AU94" s="1016">
        <v>0</v>
      </c>
      <c r="AV94" s="954">
        <f>+(AT94/AQ94)</f>
        <v>1</v>
      </c>
      <c r="AW94" s="954" t="e">
        <f>+(AU94/AS94)</f>
        <v>#DIV/0!</v>
      </c>
      <c r="AX94" s="954">
        <f>+(AT94/AM94)</f>
        <v>5.2631578947368418E-2</v>
      </c>
      <c r="AY94" s="954">
        <f>+(AU94/AO94)</f>
        <v>0</v>
      </c>
      <c r="AZ94" s="1143" t="s">
        <v>1643</v>
      </c>
      <c r="BA94" s="1140">
        <v>2</v>
      </c>
      <c r="BB94" s="959" t="str">
        <f>+AN94</f>
        <v>Realizar las actividades programadas en el Plan Anual Bienestar e Incentivos que implican costo a fin de fomentar la integración, respeto, tolerancia, sana competencia, esparcimiento y participación de los Servidores Públicos de la Entidad</v>
      </c>
      <c r="BC94" s="1113">
        <f>+(AO94/19)*2</f>
        <v>31514736.842105262</v>
      </c>
      <c r="BD94" s="973">
        <v>2</v>
      </c>
      <c r="BE94" s="963">
        <v>16500000</v>
      </c>
      <c r="BF94" s="954">
        <f>+(BD94/BA94)</f>
        <v>1</v>
      </c>
      <c r="BG94" s="954">
        <f>+(BE94/BC94)</f>
        <v>0.52356458131534123</v>
      </c>
      <c r="BH94" s="954">
        <f>+(BD94+AT94)/AM94</f>
        <v>0.15789473684210525</v>
      </c>
      <c r="BI94" s="954">
        <f>+(BE94+AU94)/AO94</f>
        <v>5.5112061191088545E-2</v>
      </c>
      <c r="BJ94" s="961" t="s">
        <v>1663</v>
      </c>
      <c r="BK94" s="1140">
        <v>6</v>
      </c>
      <c r="BL94" s="959" t="str">
        <f>+AN94</f>
        <v>Realizar las actividades programadas en el Plan Anual Bienestar e Incentivos que implican costo a fin de fomentar la integración, respeto, tolerancia, sana competencia, esparcimiento y participación de los Servidores Públicos de la Entidad</v>
      </c>
      <c r="BM94" s="1113">
        <f>+(AO94/19)*6</f>
        <v>94544210.526315778</v>
      </c>
      <c r="BN94" s="973"/>
      <c r="BO94" s="973"/>
      <c r="BP94" s="954">
        <f>+(BN94/BK94)</f>
        <v>0</v>
      </c>
      <c r="BQ94" s="954">
        <f>+(BO94/BM94)</f>
        <v>0</v>
      </c>
      <c r="BR94" s="954">
        <f>+(BD94+AT94+BN94)/AM94</f>
        <v>0.15789473684210525</v>
      </c>
      <c r="BS94" s="954">
        <f>+(BE94+AU94+BO94)/AO94</f>
        <v>5.5112061191088545E-2</v>
      </c>
      <c r="BT94" s="954"/>
      <c r="BU94" s="1140">
        <v>10</v>
      </c>
      <c r="BV94" s="959" t="str">
        <f>+AN94</f>
        <v>Realizar las actividades programadas en el Plan Anual Bienestar e Incentivos que implican costo a fin de fomentar la integración, respeto, tolerancia, sana competencia, esparcimiento y participación de los Servidores Públicos de la Entidad</v>
      </c>
      <c r="BW94" s="1113">
        <f>+(AO94/19)*10</f>
        <v>157573684.21052632</v>
      </c>
      <c r="BX94" s="973"/>
      <c r="BY94" s="973"/>
      <c r="BZ94" s="1077">
        <f>+(BX94/BU94)</f>
        <v>0</v>
      </c>
      <c r="CA94" s="1077">
        <f>+(BY94/BW94)</f>
        <v>0</v>
      </c>
      <c r="CB94" s="1077">
        <f>+(BD94+AT94+BN94+BX94)/AM94</f>
        <v>0.15789473684210525</v>
      </c>
      <c r="CC94" s="1077">
        <f>+(BE94+AU94+BO94+BY94)/AO94</f>
        <v>5.5112061191088545E-2</v>
      </c>
      <c r="CD94" s="1077"/>
      <c r="CE94" s="966">
        <f t="shared" si="156"/>
        <v>1</v>
      </c>
      <c r="CF94" s="966" t="str">
        <f t="shared" si="157"/>
        <v>No Prog ni Ejec</v>
      </c>
      <c r="CG94" s="966">
        <f t="shared" si="158"/>
        <v>1</v>
      </c>
      <c r="CH94" s="966">
        <f t="shared" si="159"/>
        <v>0.52356458131534123</v>
      </c>
      <c r="CI94" s="966">
        <f t="shared" si="160"/>
        <v>0</v>
      </c>
      <c r="CJ94" s="966">
        <f t="shared" si="161"/>
        <v>0</v>
      </c>
      <c r="CK94" s="966">
        <f t="shared" si="162"/>
        <v>0</v>
      </c>
      <c r="CL94" s="1023">
        <f t="shared" si="163"/>
        <v>0</v>
      </c>
      <c r="CM94" s="136">
        <f>+AC94-AS94-BC94-BM94-BW94</f>
        <v>15757368.421052635</v>
      </c>
      <c r="CX94" s="70">
        <v>7</v>
      </c>
      <c r="DB94" s="70">
        <v>11</v>
      </c>
    </row>
    <row r="95" spans="1:106" s="70" customFormat="1" ht="89.25" hidden="1" customHeight="1" x14ac:dyDescent="0.2">
      <c r="A95" s="785">
        <v>11700</v>
      </c>
      <c r="B95" s="693" t="s">
        <v>14</v>
      </c>
      <c r="C95" s="693" t="s">
        <v>335</v>
      </c>
      <c r="D95" s="693"/>
      <c r="E95" s="693"/>
      <c r="F95" s="693" t="s">
        <v>1023</v>
      </c>
      <c r="G95" s="693"/>
      <c r="H95" s="693" t="s">
        <v>1023</v>
      </c>
      <c r="I95" s="693"/>
      <c r="J95" s="693"/>
      <c r="K95" s="693"/>
      <c r="L95" s="693" t="s">
        <v>1023</v>
      </c>
      <c r="M95" s="693"/>
      <c r="N95" s="693"/>
      <c r="O95" s="693"/>
      <c r="P95" s="693"/>
      <c r="Q95" s="693" t="s">
        <v>204</v>
      </c>
      <c r="R95" s="693" t="s">
        <v>204</v>
      </c>
      <c r="S95" s="695" t="s">
        <v>238</v>
      </c>
      <c r="T95" s="693" t="s">
        <v>94</v>
      </c>
      <c r="U95" s="693" t="s">
        <v>204</v>
      </c>
      <c r="V95" s="693" t="s">
        <v>204</v>
      </c>
      <c r="W95" s="695" t="s">
        <v>1095</v>
      </c>
      <c r="X95" s="693" t="s">
        <v>823</v>
      </c>
      <c r="Y95" s="60" t="s">
        <v>408</v>
      </c>
      <c r="Z95" s="1141"/>
      <c r="AA95" s="973"/>
      <c r="AB95" s="972"/>
      <c r="AC95" s="1137"/>
      <c r="AD95" s="964"/>
      <c r="AE95" s="959"/>
      <c r="AF95" s="959"/>
      <c r="AG95" s="959"/>
      <c r="AH95" s="959"/>
      <c r="AI95" s="959"/>
      <c r="AJ95" s="693" t="s">
        <v>1298</v>
      </c>
      <c r="AK95" s="1034"/>
      <c r="AL95" s="959"/>
      <c r="AM95" s="1140"/>
      <c r="AN95" s="959"/>
      <c r="AO95" s="1137"/>
      <c r="AP95" s="700" t="s">
        <v>46</v>
      </c>
      <c r="AQ95" s="1123"/>
      <c r="AR95" s="959"/>
      <c r="AS95" s="1142"/>
      <c r="AT95" s="973"/>
      <c r="AU95" s="1016"/>
      <c r="AV95" s="954"/>
      <c r="AW95" s="954"/>
      <c r="AX95" s="954"/>
      <c r="AY95" s="954"/>
      <c r="AZ95" s="1143"/>
      <c r="BA95" s="1140"/>
      <c r="BB95" s="959"/>
      <c r="BC95" s="1113"/>
      <c r="BD95" s="973"/>
      <c r="BE95" s="963"/>
      <c r="BF95" s="954"/>
      <c r="BG95" s="954"/>
      <c r="BH95" s="954"/>
      <c r="BI95" s="954"/>
      <c r="BJ95" s="962"/>
      <c r="BK95" s="1140"/>
      <c r="BL95" s="959"/>
      <c r="BM95" s="1113"/>
      <c r="BN95" s="973"/>
      <c r="BO95" s="973"/>
      <c r="BP95" s="954"/>
      <c r="BQ95" s="954"/>
      <c r="BR95" s="954"/>
      <c r="BS95" s="954"/>
      <c r="BT95" s="954"/>
      <c r="BU95" s="1140"/>
      <c r="BV95" s="959"/>
      <c r="BW95" s="1113"/>
      <c r="BX95" s="973"/>
      <c r="BY95" s="973"/>
      <c r="BZ95" s="1077"/>
      <c r="CA95" s="1077"/>
      <c r="CB95" s="1077"/>
      <c r="CC95" s="1077"/>
      <c r="CD95" s="1077"/>
      <c r="CE95" s="966"/>
      <c r="CF95" s="966"/>
      <c r="CG95" s="966"/>
      <c r="CH95" s="966"/>
      <c r="CI95" s="966"/>
      <c r="CJ95" s="966"/>
      <c r="CK95" s="966"/>
      <c r="CL95" s="1023"/>
      <c r="CM95" s="136">
        <f>+AC94-(AS95+AS96+AS97+AS98+BC95+BC96+BC97+BC98+BM95+BM96+BM97+BM97+BW95+BW96+BW97+BW98)</f>
        <v>299390000</v>
      </c>
      <c r="CX95" s="70">
        <v>7</v>
      </c>
      <c r="DB95" s="70">
        <v>11</v>
      </c>
    </row>
    <row r="96" spans="1:106" s="70" customFormat="1" ht="102" hidden="1" customHeight="1" x14ac:dyDescent="0.2">
      <c r="A96" s="785">
        <v>11700</v>
      </c>
      <c r="B96" s="693" t="s">
        <v>14</v>
      </c>
      <c r="C96" s="693" t="s">
        <v>335</v>
      </c>
      <c r="D96" s="693"/>
      <c r="E96" s="693"/>
      <c r="F96" s="693" t="s">
        <v>1023</v>
      </c>
      <c r="G96" s="693"/>
      <c r="H96" s="693" t="s">
        <v>1023</v>
      </c>
      <c r="I96" s="693"/>
      <c r="J96" s="693"/>
      <c r="K96" s="693"/>
      <c r="L96" s="693" t="s">
        <v>1023</v>
      </c>
      <c r="M96" s="693"/>
      <c r="N96" s="693"/>
      <c r="O96" s="693"/>
      <c r="P96" s="693"/>
      <c r="Q96" s="693" t="s">
        <v>204</v>
      </c>
      <c r="R96" s="693" t="s">
        <v>204</v>
      </c>
      <c r="S96" s="695" t="s">
        <v>238</v>
      </c>
      <c r="T96" s="693" t="s">
        <v>94</v>
      </c>
      <c r="U96" s="693" t="s">
        <v>204</v>
      </c>
      <c r="V96" s="693" t="s">
        <v>204</v>
      </c>
      <c r="W96" s="695" t="s">
        <v>1096</v>
      </c>
      <c r="X96" s="693" t="s">
        <v>824</v>
      </c>
      <c r="Y96" s="60" t="s">
        <v>408</v>
      </c>
      <c r="Z96" s="1141"/>
      <c r="AA96" s="973"/>
      <c r="AB96" s="972"/>
      <c r="AC96" s="1137"/>
      <c r="AD96" s="964"/>
      <c r="AE96" s="959"/>
      <c r="AF96" s="959"/>
      <c r="AG96" s="959"/>
      <c r="AH96" s="959"/>
      <c r="AI96" s="959"/>
      <c r="AJ96" s="693" t="s">
        <v>1298</v>
      </c>
      <c r="AK96" s="1034"/>
      <c r="AL96" s="959"/>
      <c r="AM96" s="1140"/>
      <c r="AN96" s="959"/>
      <c r="AO96" s="1137"/>
      <c r="AP96" s="700" t="s">
        <v>46</v>
      </c>
      <c r="AQ96" s="1123"/>
      <c r="AR96" s="959"/>
      <c r="AS96" s="1142"/>
      <c r="AT96" s="973"/>
      <c r="AU96" s="1016"/>
      <c r="AV96" s="954"/>
      <c r="AW96" s="954"/>
      <c r="AX96" s="954"/>
      <c r="AY96" s="954"/>
      <c r="AZ96" s="1143"/>
      <c r="BA96" s="1140"/>
      <c r="BB96" s="959"/>
      <c r="BC96" s="1113"/>
      <c r="BD96" s="973"/>
      <c r="BE96" s="963"/>
      <c r="BF96" s="954"/>
      <c r="BG96" s="954"/>
      <c r="BH96" s="954"/>
      <c r="BI96" s="954"/>
      <c r="BJ96" s="962"/>
      <c r="BK96" s="1140"/>
      <c r="BL96" s="959"/>
      <c r="BM96" s="1113"/>
      <c r="BN96" s="973"/>
      <c r="BO96" s="973"/>
      <c r="BP96" s="954"/>
      <c r="BQ96" s="954"/>
      <c r="BR96" s="954"/>
      <c r="BS96" s="954"/>
      <c r="BT96" s="954"/>
      <c r="BU96" s="1140"/>
      <c r="BV96" s="959"/>
      <c r="BW96" s="1113"/>
      <c r="BX96" s="973"/>
      <c r="BY96" s="973"/>
      <c r="BZ96" s="1077"/>
      <c r="CA96" s="1077"/>
      <c r="CB96" s="1077"/>
      <c r="CC96" s="1077"/>
      <c r="CD96" s="1077"/>
      <c r="CE96" s="966"/>
      <c r="CF96" s="966"/>
      <c r="CG96" s="966"/>
      <c r="CH96" s="966"/>
      <c r="CI96" s="966"/>
      <c r="CJ96" s="966"/>
      <c r="CK96" s="966"/>
      <c r="CL96" s="1023"/>
      <c r="CM96" s="136"/>
      <c r="CX96" s="70">
        <v>7</v>
      </c>
      <c r="DB96" s="70">
        <v>11</v>
      </c>
    </row>
    <row r="97" spans="1:106" s="70" customFormat="1" ht="105.75" hidden="1" customHeight="1" x14ac:dyDescent="0.2">
      <c r="A97" s="785">
        <v>11700</v>
      </c>
      <c r="B97" s="693" t="s">
        <v>14</v>
      </c>
      <c r="C97" s="693" t="s">
        <v>335</v>
      </c>
      <c r="D97" s="693"/>
      <c r="E97" s="693"/>
      <c r="F97" s="693" t="s">
        <v>1023</v>
      </c>
      <c r="G97" s="693"/>
      <c r="H97" s="693" t="s">
        <v>1023</v>
      </c>
      <c r="I97" s="693"/>
      <c r="J97" s="693"/>
      <c r="K97" s="693"/>
      <c r="L97" s="693" t="s">
        <v>1023</v>
      </c>
      <c r="M97" s="693"/>
      <c r="N97" s="693"/>
      <c r="O97" s="693"/>
      <c r="P97" s="693"/>
      <c r="Q97" s="693" t="s">
        <v>204</v>
      </c>
      <c r="R97" s="693" t="s">
        <v>204</v>
      </c>
      <c r="S97" s="695" t="s">
        <v>238</v>
      </c>
      <c r="T97" s="693" t="s">
        <v>94</v>
      </c>
      <c r="U97" s="693" t="s">
        <v>204</v>
      </c>
      <c r="V97" s="693" t="s">
        <v>204</v>
      </c>
      <c r="W97" s="695" t="s">
        <v>1097</v>
      </c>
      <c r="X97" s="693" t="s">
        <v>825</v>
      </c>
      <c r="Y97" s="60" t="s">
        <v>408</v>
      </c>
      <c r="Z97" s="1141"/>
      <c r="AA97" s="973"/>
      <c r="AB97" s="972"/>
      <c r="AC97" s="1137"/>
      <c r="AD97" s="964"/>
      <c r="AE97" s="959"/>
      <c r="AF97" s="959"/>
      <c r="AG97" s="959"/>
      <c r="AH97" s="959"/>
      <c r="AI97" s="959"/>
      <c r="AJ97" s="693" t="s">
        <v>1298</v>
      </c>
      <c r="AK97" s="1034"/>
      <c r="AL97" s="959"/>
      <c r="AM97" s="1140"/>
      <c r="AN97" s="959"/>
      <c r="AO97" s="1137"/>
      <c r="AP97" s="700" t="s">
        <v>46</v>
      </c>
      <c r="AQ97" s="1123"/>
      <c r="AR97" s="959"/>
      <c r="AS97" s="1142"/>
      <c r="AT97" s="973"/>
      <c r="AU97" s="1016"/>
      <c r="AV97" s="954"/>
      <c r="AW97" s="954"/>
      <c r="AX97" s="954"/>
      <c r="AY97" s="954"/>
      <c r="AZ97" s="1143"/>
      <c r="BA97" s="1140"/>
      <c r="BB97" s="959"/>
      <c r="BC97" s="1113"/>
      <c r="BD97" s="973"/>
      <c r="BE97" s="963"/>
      <c r="BF97" s="954"/>
      <c r="BG97" s="954"/>
      <c r="BH97" s="954"/>
      <c r="BI97" s="954"/>
      <c r="BJ97" s="962"/>
      <c r="BK97" s="1140"/>
      <c r="BL97" s="959"/>
      <c r="BM97" s="1113"/>
      <c r="BN97" s="973"/>
      <c r="BO97" s="973"/>
      <c r="BP97" s="954"/>
      <c r="BQ97" s="954"/>
      <c r="BR97" s="954"/>
      <c r="BS97" s="954"/>
      <c r="BT97" s="954"/>
      <c r="BU97" s="1140"/>
      <c r="BV97" s="959"/>
      <c r="BW97" s="1113"/>
      <c r="BX97" s="973"/>
      <c r="BY97" s="973"/>
      <c r="BZ97" s="1077"/>
      <c r="CA97" s="1077"/>
      <c r="CB97" s="1077"/>
      <c r="CC97" s="1077"/>
      <c r="CD97" s="1077"/>
      <c r="CE97" s="966"/>
      <c r="CF97" s="966"/>
      <c r="CG97" s="966"/>
      <c r="CH97" s="966"/>
      <c r="CI97" s="966"/>
      <c r="CJ97" s="966"/>
      <c r="CK97" s="966"/>
      <c r="CL97" s="1023"/>
      <c r="CM97" s="136"/>
      <c r="CX97" s="70">
        <v>7</v>
      </c>
      <c r="DB97" s="70">
        <v>11</v>
      </c>
    </row>
    <row r="98" spans="1:106" s="70" customFormat="1" ht="104.25" hidden="1" customHeight="1" x14ac:dyDescent="0.2">
      <c r="A98" s="785">
        <v>11700</v>
      </c>
      <c r="B98" s="693" t="s">
        <v>14</v>
      </c>
      <c r="C98" s="693" t="s">
        <v>335</v>
      </c>
      <c r="D98" s="693"/>
      <c r="E98" s="693"/>
      <c r="F98" s="693" t="s">
        <v>1023</v>
      </c>
      <c r="G98" s="693"/>
      <c r="H98" s="693" t="s">
        <v>1023</v>
      </c>
      <c r="I98" s="693"/>
      <c r="J98" s="693"/>
      <c r="K98" s="693"/>
      <c r="L98" s="693" t="s">
        <v>1023</v>
      </c>
      <c r="M98" s="693"/>
      <c r="N98" s="693"/>
      <c r="O98" s="693"/>
      <c r="P98" s="693"/>
      <c r="Q98" s="693" t="s">
        <v>204</v>
      </c>
      <c r="R98" s="693" t="s">
        <v>204</v>
      </c>
      <c r="S98" s="695" t="s">
        <v>238</v>
      </c>
      <c r="T98" s="693" t="s">
        <v>94</v>
      </c>
      <c r="U98" s="693" t="s">
        <v>204</v>
      </c>
      <c r="V98" s="693" t="s">
        <v>204</v>
      </c>
      <c r="W98" s="695" t="s">
        <v>1098</v>
      </c>
      <c r="X98" s="693" t="s">
        <v>826</v>
      </c>
      <c r="Y98" s="60" t="s">
        <v>408</v>
      </c>
      <c r="Z98" s="1141"/>
      <c r="AA98" s="973"/>
      <c r="AB98" s="972"/>
      <c r="AC98" s="1137"/>
      <c r="AD98" s="964"/>
      <c r="AE98" s="959"/>
      <c r="AF98" s="959"/>
      <c r="AG98" s="959"/>
      <c r="AH98" s="959"/>
      <c r="AI98" s="959"/>
      <c r="AJ98" s="693" t="s">
        <v>1298</v>
      </c>
      <c r="AK98" s="1034"/>
      <c r="AL98" s="959"/>
      <c r="AM98" s="1140"/>
      <c r="AN98" s="959"/>
      <c r="AO98" s="1137"/>
      <c r="AP98" s="700" t="s">
        <v>46</v>
      </c>
      <c r="AQ98" s="1123"/>
      <c r="AR98" s="959"/>
      <c r="AS98" s="1142"/>
      <c r="AT98" s="973"/>
      <c r="AU98" s="1016"/>
      <c r="AV98" s="954"/>
      <c r="AW98" s="954"/>
      <c r="AX98" s="954"/>
      <c r="AY98" s="954"/>
      <c r="AZ98" s="1143"/>
      <c r="BA98" s="1140"/>
      <c r="BB98" s="959"/>
      <c r="BC98" s="1113"/>
      <c r="BD98" s="973"/>
      <c r="BE98" s="963"/>
      <c r="BF98" s="954"/>
      <c r="BG98" s="954"/>
      <c r="BH98" s="954"/>
      <c r="BI98" s="954"/>
      <c r="BJ98" s="962"/>
      <c r="BK98" s="1140"/>
      <c r="BL98" s="959"/>
      <c r="BM98" s="1113"/>
      <c r="BN98" s="973"/>
      <c r="BO98" s="973"/>
      <c r="BP98" s="954"/>
      <c r="BQ98" s="954"/>
      <c r="BR98" s="954"/>
      <c r="BS98" s="954"/>
      <c r="BT98" s="954"/>
      <c r="BU98" s="1140"/>
      <c r="BV98" s="959"/>
      <c r="BW98" s="1113"/>
      <c r="BX98" s="973"/>
      <c r="BY98" s="973"/>
      <c r="BZ98" s="1077"/>
      <c r="CA98" s="1077"/>
      <c r="CB98" s="1077"/>
      <c r="CC98" s="1077"/>
      <c r="CD98" s="1077"/>
      <c r="CE98" s="966"/>
      <c r="CF98" s="966"/>
      <c r="CG98" s="966"/>
      <c r="CH98" s="966"/>
      <c r="CI98" s="966"/>
      <c r="CJ98" s="966"/>
      <c r="CK98" s="966"/>
      <c r="CL98" s="1023"/>
      <c r="CM98" s="136"/>
      <c r="CX98" s="70">
        <v>7</v>
      </c>
      <c r="DB98" s="70">
        <v>11</v>
      </c>
    </row>
    <row r="99" spans="1:106" s="70" customFormat="1" ht="104.25" hidden="1" customHeight="1" x14ac:dyDescent="0.2">
      <c r="A99" s="785">
        <v>11700</v>
      </c>
      <c r="B99" s="693" t="s">
        <v>14</v>
      </c>
      <c r="C99" s="693" t="s">
        <v>335</v>
      </c>
      <c r="D99" s="693"/>
      <c r="E99" s="693"/>
      <c r="F99" s="693"/>
      <c r="G99" s="693"/>
      <c r="H99" s="693" t="s">
        <v>1023</v>
      </c>
      <c r="I99" s="693"/>
      <c r="J99" s="693"/>
      <c r="K99" s="693"/>
      <c r="L99" s="693" t="s">
        <v>1023</v>
      </c>
      <c r="M99" s="693"/>
      <c r="N99" s="693"/>
      <c r="O99" s="693"/>
      <c r="P99" s="693"/>
      <c r="Q99" s="693" t="s">
        <v>204</v>
      </c>
      <c r="R99" s="693" t="s">
        <v>204</v>
      </c>
      <c r="S99" s="695" t="s">
        <v>111</v>
      </c>
      <c r="T99" s="693" t="s">
        <v>94</v>
      </c>
      <c r="U99" s="693" t="s">
        <v>204</v>
      </c>
      <c r="V99" s="693" t="s">
        <v>204</v>
      </c>
      <c r="W99" s="595" t="s">
        <v>1099</v>
      </c>
      <c r="X99" s="693" t="s">
        <v>827</v>
      </c>
      <c r="Y99" s="60" t="s">
        <v>408</v>
      </c>
      <c r="Z99" s="1141"/>
      <c r="AA99" s="973"/>
      <c r="AB99" s="972"/>
      <c r="AC99" s="1137"/>
      <c r="AD99" s="706">
        <v>1</v>
      </c>
      <c r="AE99" s="959"/>
      <c r="AF99" s="959"/>
      <c r="AG99" s="959"/>
      <c r="AH99" s="959"/>
      <c r="AI99" s="959"/>
      <c r="AJ99" s="693" t="s">
        <v>1298</v>
      </c>
      <c r="AK99" s="1034"/>
      <c r="AL99" s="959"/>
      <c r="AM99" s="1140"/>
      <c r="AN99" s="959"/>
      <c r="AO99" s="1137"/>
      <c r="AP99" s="973" t="s">
        <v>46</v>
      </c>
      <c r="AQ99" s="1123"/>
      <c r="AR99" s="959"/>
      <c r="AS99" s="1142"/>
      <c r="AT99" s="973"/>
      <c r="AU99" s="1016"/>
      <c r="AV99" s="954"/>
      <c r="AW99" s="954"/>
      <c r="AX99" s="954"/>
      <c r="AY99" s="954"/>
      <c r="AZ99" s="1143"/>
      <c r="BA99" s="1140"/>
      <c r="BB99" s="959"/>
      <c r="BC99" s="1113"/>
      <c r="BD99" s="973"/>
      <c r="BE99" s="963"/>
      <c r="BF99" s="954"/>
      <c r="BG99" s="954"/>
      <c r="BH99" s="954"/>
      <c r="BI99" s="954"/>
      <c r="BJ99" s="962"/>
      <c r="BK99" s="1140"/>
      <c r="BL99" s="959"/>
      <c r="BM99" s="1113"/>
      <c r="BN99" s="973"/>
      <c r="BO99" s="973"/>
      <c r="BP99" s="954"/>
      <c r="BQ99" s="954"/>
      <c r="BR99" s="954"/>
      <c r="BS99" s="954"/>
      <c r="BT99" s="954"/>
      <c r="BU99" s="1140"/>
      <c r="BV99" s="959"/>
      <c r="BW99" s="1113"/>
      <c r="BX99" s="973"/>
      <c r="BY99" s="973"/>
      <c r="BZ99" s="1077"/>
      <c r="CA99" s="1077"/>
      <c r="CB99" s="1077"/>
      <c r="CC99" s="1077"/>
      <c r="CD99" s="1077"/>
      <c r="CE99" s="966"/>
      <c r="CF99" s="966"/>
      <c r="CG99" s="966"/>
      <c r="CH99" s="966"/>
      <c r="CI99" s="966"/>
      <c r="CJ99" s="966"/>
      <c r="CK99" s="966"/>
      <c r="CL99" s="1023"/>
      <c r="CM99" s="136"/>
    </row>
    <row r="100" spans="1:106" s="70" customFormat="1" ht="104.25" hidden="1" customHeight="1" x14ac:dyDescent="0.2">
      <c r="A100" s="785">
        <v>11700</v>
      </c>
      <c r="B100" s="693" t="s">
        <v>14</v>
      </c>
      <c r="C100" s="693" t="s">
        <v>335</v>
      </c>
      <c r="D100" s="693"/>
      <c r="E100" s="693"/>
      <c r="F100" s="693"/>
      <c r="G100" s="693"/>
      <c r="H100" s="693" t="s">
        <v>1023</v>
      </c>
      <c r="I100" s="693"/>
      <c r="J100" s="693"/>
      <c r="K100" s="693"/>
      <c r="L100" s="693" t="s">
        <v>1023</v>
      </c>
      <c r="M100" s="693"/>
      <c r="N100" s="693"/>
      <c r="O100" s="693"/>
      <c r="P100" s="693"/>
      <c r="Q100" s="693" t="s">
        <v>204</v>
      </c>
      <c r="R100" s="693" t="s">
        <v>204</v>
      </c>
      <c r="S100" s="695" t="s">
        <v>111</v>
      </c>
      <c r="T100" s="693" t="s">
        <v>94</v>
      </c>
      <c r="U100" s="693" t="s">
        <v>204</v>
      </c>
      <c r="V100" s="693" t="s">
        <v>204</v>
      </c>
      <c r="W100" s="595" t="s">
        <v>1582</v>
      </c>
      <c r="X100" s="693" t="s">
        <v>810</v>
      </c>
      <c r="Y100" s="60" t="s">
        <v>408</v>
      </c>
      <c r="Z100" s="1141"/>
      <c r="AA100" s="973"/>
      <c r="AB100" s="972"/>
      <c r="AC100" s="1137"/>
      <c r="AD100" s="706">
        <v>1</v>
      </c>
      <c r="AE100" s="959"/>
      <c r="AF100" s="959"/>
      <c r="AG100" s="959"/>
      <c r="AH100" s="959"/>
      <c r="AI100" s="959"/>
      <c r="AJ100" s="693" t="s">
        <v>1298</v>
      </c>
      <c r="AK100" s="1034"/>
      <c r="AL100" s="959"/>
      <c r="AM100" s="1140"/>
      <c r="AN100" s="959"/>
      <c r="AO100" s="1137"/>
      <c r="AP100" s="973"/>
      <c r="AQ100" s="1123"/>
      <c r="AR100" s="959"/>
      <c r="AS100" s="1142"/>
      <c r="AT100" s="973"/>
      <c r="AU100" s="1016"/>
      <c r="AV100" s="954"/>
      <c r="AW100" s="954"/>
      <c r="AX100" s="954"/>
      <c r="AY100" s="954"/>
      <c r="AZ100" s="1143"/>
      <c r="BA100" s="1140"/>
      <c r="BB100" s="959"/>
      <c r="BC100" s="1113"/>
      <c r="BD100" s="973"/>
      <c r="BE100" s="963"/>
      <c r="BF100" s="954"/>
      <c r="BG100" s="954"/>
      <c r="BH100" s="954"/>
      <c r="BI100" s="954"/>
      <c r="BJ100" s="962"/>
      <c r="BK100" s="1140"/>
      <c r="BL100" s="959"/>
      <c r="BM100" s="1113"/>
      <c r="BN100" s="973"/>
      <c r="BO100" s="973"/>
      <c r="BP100" s="954"/>
      <c r="BQ100" s="954"/>
      <c r="BR100" s="954"/>
      <c r="BS100" s="954"/>
      <c r="BT100" s="954"/>
      <c r="BU100" s="1140"/>
      <c r="BV100" s="959"/>
      <c r="BW100" s="1113"/>
      <c r="BX100" s="973"/>
      <c r="BY100" s="973"/>
      <c r="BZ100" s="1077"/>
      <c r="CA100" s="1077"/>
      <c r="CB100" s="1077"/>
      <c r="CC100" s="1077"/>
      <c r="CD100" s="1077"/>
      <c r="CE100" s="966"/>
      <c r="CF100" s="966"/>
      <c r="CG100" s="966"/>
      <c r="CH100" s="966"/>
      <c r="CI100" s="966"/>
      <c r="CJ100" s="966"/>
      <c r="CK100" s="966"/>
      <c r="CL100" s="1023"/>
      <c r="CM100" s="136"/>
    </row>
    <row r="101" spans="1:106" s="70" customFormat="1" ht="104.25" hidden="1" customHeight="1" x14ac:dyDescent="0.2">
      <c r="A101" s="785">
        <v>11700</v>
      </c>
      <c r="B101" s="693" t="s">
        <v>14</v>
      </c>
      <c r="C101" s="693" t="s">
        <v>335</v>
      </c>
      <c r="D101" s="693"/>
      <c r="E101" s="693"/>
      <c r="F101" s="693"/>
      <c r="G101" s="693"/>
      <c r="H101" s="693" t="s">
        <v>1023</v>
      </c>
      <c r="I101" s="693"/>
      <c r="J101" s="693"/>
      <c r="K101" s="693"/>
      <c r="L101" s="693" t="s">
        <v>1023</v>
      </c>
      <c r="M101" s="693"/>
      <c r="N101" s="693"/>
      <c r="O101" s="693"/>
      <c r="P101" s="693"/>
      <c r="Q101" s="693" t="s">
        <v>204</v>
      </c>
      <c r="R101" s="693" t="s">
        <v>204</v>
      </c>
      <c r="S101" s="695" t="s">
        <v>111</v>
      </c>
      <c r="T101" s="693" t="s">
        <v>94</v>
      </c>
      <c r="U101" s="693" t="s">
        <v>204</v>
      </c>
      <c r="V101" s="693" t="s">
        <v>204</v>
      </c>
      <c r="W101" s="595" t="s">
        <v>1583</v>
      </c>
      <c r="X101" s="693" t="s">
        <v>811</v>
      </c>
      <c r="Y101" s="60" t="s">
        <v>408</v>
      </c>
      <c r="Z101" s="1141"/>
      <c r="AA101" s="973"/>
      <c r="AB101" s="972"/>
      <c r="AC101" s="1137"/>
      <c r="AD101" s="706">
        <v>1</v>
      </c>
      <c r="AE101" s="959"/>
      <c r="AF101" s="959"/>
      <c r="AG101" s="959"/>
      <c r="AH101" s="959"/>
      <c r="AI101" s="959"/>
      <c r="AJ101" s="693" t="s">
        <v>1298</v>
      </c>
      <c r="AK101" s="1034"/>
      <c r="AL101" s="959"/>
      <c r="AM101" s="1140"/>
      <c r="AN101" s="959"/>
      <c r="AO101" s="1137"/>
      <c r="AP101" s="973"/>
      <c r="AQ101" s="1123"/>
      <c r="AR101" s="959"/>
      <c r="AS101" s="1142"/>
      <c r="AT101" s="973"/>
      <c r="AU101" s="1016"/>
      <c r="AV101" s="954"/>
      <c r="AW101" s="954"/>
      <c r="AX101" s="954"/>
      <c r="AY101" s="954"/>
      <c r="AZ101" s="1143"/>
      <c r="BA101" s="1140"/>
      <c r="BB101" s="959"/>
      <c r="BC101" s="1113"/>
      <c r="BD101" s="973"/>
      <c r="BE101" s="963"/>
      <c r="BF101" s="954"/>
      <c r="BG101" s="954"/>
      <c r="BH101" s="954"/>
      <c r="BI101" s="954"/>
      <c r="BJ101" s="962"/>
      <c r="BK101" s="1140"/>
      <c r="BL101" s="959"/>
      <c r="BM101" s="1113"/>
      <c r="BN101" s="973"/>
      <c r="BO101" s="973"/>
      <c r="BP101" s="954"/>
      <c r="BQ101" s="954"/>
      <c r="BR101" s="954"/>
      <c r="BS101" s="954"/>
      <c r="BT101" s="954"/>
      <c r="BU101" s="1140"/>
      <c r="BV101" s="959"/>
      <c r="BW101" s="1113"/>
      <c r="BX101" s="973"/>
      <c r="BY101" s="973"/>
      <c r="BZ101" s="1077"/>
      <c r="CA101" s="1077"/>
      <c r="CB101" s="1077"/>
      <c r="CC101" s="1077"/>
      <c r="CD101" s="1077"/>
      <c r="CE101" s="966"/>
      <c r="CF101" s="966"/>
      <c r="CG101" s="966"/>
      <c r="CH101" s="966"/>
      <c r="CI101" s="966"/>
      <c r="CJ101" s="966"/>
      <c r="CK101" s="966"/>
      <c r="CL101" s="1023"/>
      <c r="CM101" s="136"/>
    </row>
    <row r="102" spans="1:106" s="70" customFormat="1" ht="104.25" hidden="1" customHeight="1" x14ac:dyDescent="0.2">
      <c r="A102" s="785">
        <v>11700</v>
      </c>
      <c r="B102" s="693" t="s">
        <v>14</v>
      </c>
      <c r="C102" s="693" t="s">
        <v>335</v>
      </c>
      <c r="D102" s="693"/>
      <c r="E102" s="693"/>
      <c r="F102" s="693"/>
      <c r="G102" s="693"/>
      <c r="H102" s="693" t="s">
        <v>1023</v>
      </c>
      <c r="I102" s="693"/>
      <c r="J102" s="693"/>
      <c r="K102" s="693"/>
      <c r="L102" s="693" t="s">
        <v>1023</v>
      </c>
      <c r="M102" s="693"/>
      <c r="N102" s="693"/>
      <c r="O102" s="693"/>
      <c r="P102" s="693"/>
      <c r="Q102" s="693" t="s">
        <v>204</v>
      </c>
      <c r="R102" s="693" t="s">
        <v>204</v>
      </c>
      <c r="S102" s="695" t="s">
        <v>111</v>
      </c>
      <c r="T102" s="693" t="s">
        <v>94</v>
      </c>
      <c r="U102" s="693" t="s">
        <v>204</v>
      </c>
      <c r="V102" s="693" t="s">
        <v>204</v>
      </c>
      <c r="W102" s="595" t="s">
        <v>1585</v>
      </c>
      <c r="X102" s="693" t="s">
        <v>812</v>
      </c>
      <c r="Y102" s="60" t="s">
        <v>408</v>
      </c>
      <c r="Z102" s="1141"/>
      <c r="AA102" s="973"/>
      <c r="AB102" s="972"/>
      <c r="AC102" s="1137"/>
      <c r="AD102" s="706">
        <v>1</v>
      </c>
      <c r="AE102" s="959"/>
      <c r="AF102" s="959"/>
      <c r="AG102" s="959"/>
      <c r="AH102" s="959"/>
      <c r="AI102" s="959"/>
      <c r="AJ102" s="693" t="s">
        <v>1298</v>
      </c>
      <c r="AK102" s="1034"/>
      <c r="AL102" s="959"/>
      <c r="AM102" s="1140"/>
      <c r="AN102" s="959"/>
      <c r="AO102" s="1137"/>
      <c r="AP102" s="973"/>
      <c r="AQ102" s="1123"/>
      <c r="AR102" s="959"/>
      <c r="AS102" s="1142"/>
      <c r="AT102" s="973"/>
      <c r="AU102" s="1016"/>
      <c r="AV102" s="954"/>
      <c r="AW102" s="954"/>
      <c r="AX102" s="954"/>
      <c r="AY102" s="954"/>
      <c r="AZ102" s="1143"/>
      <c r="BA102" s="1140"/>
      <c r="BB102" s="959"/>
      <c r="BC102" s="1113"/>
      <c r="BD102" s="973"/>
      <c r="BE102" s="963"/>
      <c r="BF102" s="954"/>
      <c r="BG102" s="954"/>
      <c r="BH102" s="954"/>
      <c r="BI102" s="954"/>
      <c r="BJ102" s="962"/>
      <c r="BK102" s="1140"/>
      <c r="BL102" s="959"/>
      <c r="BM102" s="1113"/>
      <c r="BN102" s="973"/>
      <c r="BO102" s="973"/>
      <c r="BP102" s="954"/>
      <c r="BQ102" s="954"/>
      <c r="BR102" s="954"/>
      <c r="BS102" s="954"/>
      <c r="BT102" s="954"/>
      <c r="BU102" s="1140"/>
      <c r="BV102" s="959"/>
      <c r="BW102" s="1113"/>
      <c r="BX102" s="973"/>
      <c r="BY102" s="973"/>
      <c r="BZ102" s="1077"/>
      <c r="CA102" s="1077"/>
      <c r="CB102" s="1077"/>
      <c r="CC102" s="1077"/>
      <c r="CD102" s="1077"/>
      <c r="CE102" s="966"/>
      <c r="CF102" s="966"/>
      <c r="CG102" s="966"/>
      <c r="CH102" s="966"/>
      <c r="CI102" s="966"/>
      <c r="CJ102" s="966"/>
      <c r="CK102" s="966"/>
      <c r="CL102" s="1023"/>
      <c r="CM102" s="136"/>
    </row>
    <row r="103" spans="1:106" s="70" customFormat="1" ht="104.25" hidden="1" customHeight="1" x14ac:dyDescent="0.2">
      <c r="A103" s="785">
        <v>11700</v>
      </c>
      <c r="B103" s="693" t="s">
        <v>14</v>
      </c>
      <c r="C103" s="693" t="s">
        <v>335</v>
      </c>
      <c r="D103" s="693"/>
      <c r="E103" s="693"/>
      <c r="F103" s="693"/>
      <c r="G103" s="693"/>
      <c r="H103" s="693" t="s">
        <v>1023</v>
      </c>
      <c r="I103" s="693"/>
      <c r="J103" s="693"/>
      <c r="K103" s="693"/>
      <c r="L103" s="693" t="s">
        <v>1023</v>
      </c>
      <c r="M103" s="693"/>
      <c r="N103" s="693"/>
      <c r="O103" s="693"/>
      <c r="P103" s="693"/>
      <c r="Q103" s="693" t="s">
        <v>204</v>
      </c>
      <c r="R103" s="693" t="s">
        <v>204</v>
      </c>
      <c r="S103" s="695" t="s">
        <v>111</v>
      </c>
      <c r="T103" s="693" t="s">
        <v>94</v>
      </c>
      <c r="U103" s="693" t="s">
        <v>204</v>
      </c>
      <c r="V103" s="693" t="s">
        <v>204</v>
      </c>
      <c r="W103" s="595" t="s">
        <v>1586</v>
      </c>
      <c r="X103" s="693" t="s">
        <v>882</v>
      </c>
      <c r="Y103" s="60" t="s">
        <v>408</v>
      </c>
      <c r="Z103" s="1141"/>
      <c r="AA103" s="973"/>
      <c r="AB103" s="972"/>
      <c r="AC103" s="1137"/>
      <c r="AD103" s="706">
        <v>1</v>
      </c>
      <c r="AE103" s="959"/>
      <c r="AF103" s="959"/>
      <c r="AG103" s="959"/>
      <c r="AH103" s="959"/>
      <c r="AI103" s="959"/>
      <c r="AJ103" s="693" t="s">
        <v>1298</v>
      </c>
      <c r="AK103" s="1034"/>
      <c r="AL103" s="959"/>
      <c r="AM103" s="1140"/>
      <c r="AN103" s="959"/>
      <c r="AO103" s="1137"/>
      <c r="AP103" s="973"/>
      <c r="AQ103" s="1123"/>
      <c r="AR103" s="959"/>
      <c r="AS103" s="1142"/>
      <c r="AT103" s="973"/>
      <c r="AU103" s="1016"/>
      <c r="AV103" s="954"/>
      <c r="AW103" s="954"/>
      <c r="AX103" s="954"/>
      <c r="AY103" s="954"/>
      <c r="AZ103" s="1143"/>
      <c r="BA103" s="1140"/>
      <c r="BB103" s="959"/>
      <c r="BC103" s="1113"/>
      <c r="BD103" s="973"/>
      <c r="BE103" s="963"/>
      <c r="BF103" s="954"/>
      <c r="BG103" s="954"/>
      <c r="BH103" s="954"/>
      <c r="BI103" s="954"/>
      <c r="BJ103" s="962"/>
      <c r="BK103" s="1140"/>
      <c r="BL103" s="959"/>
      <c r="BM103" s="1113"/>
      <c r="BN103" s="973"/>
      <c r="BO103" s="973"/>
      <c r="BP103" s="954"/>
      <c r="BQ103" s="954"/>
      <c r="BR103" s="954"/>
      <c r="BS103" s="954"/>
      <c r="BT103" s="954"/>
      <c r="BU103" s="1140"/>
      <c r="BV103" s="959"/>
      <c r="BW103" s="1113"/>
      <c r="BX103" s="973"/>
      <c r="BY103" s="973"/>
      <c r="BZ103" s="1077"/>
      <c r="CA103" s="1077"/>
      <c r="CB103" s="1077"/>
      <c r="CC103" s="1077"/>
      <c r="CD103" s="1077"/>
      <c r="CE103" s="966"/>
      <c r="CF103" s="966"/>
      <c r="CG103" s="966"/>
      <c r="CH103" s="966"/>
      <c r="CI103" s="966"/>
      <c r="CJ103" s="966"/>
      <c r="CK103" s="966"/>
      <c r="CL103" s="1023"/>
      <c r="CM103" s="136"/>
    </row>
    <row r="104" spans="1:106" s="70" customFormat="1" ht="104.25" hidden="1" customHeight="1" x14ac:dyDescent="0.2">
      <c r="A104" s="785">
        <v>11700</v>
      </c>
      <c r="B104" s="693" t="s">
        <v>14</v>
      </c>
      <c r="C104" s="693" t="s">
        <v>335</v>
      </c>
      <c r="D104" s="693"/>
      <c r="E104" s="693"/>
      <c r="F104" s="693"/>
      <c r="G104" s="693"/>
      <c r="H104" s="693" t="s">
        <v>1023</v>
      </c>
      <c r="I104" s="693"/>
      <c r="J104" s="693"/>
      <c r="K104" s="693"/>
      <c r="L104" s="693" t="s">
        <v>1023</v>
      </c>
      <c r="M104" s="693"/>
      <c r="N104" s="693"/>
      <c r="O104" s="693"/>
      <c r="P104" s="693"/>
      <c r="Q104" s="693" t="s">
        <v>204</v>
      </c>
      <c r="R104" s="693" t="s">
        <v>204</v>
      </c>
      <c r="S104" s="695" t="s">
        <v>111</v>
      </c>
      <c r="T104" s="693" t="s">
        <v>94</v>
      </c>
      <c r="U104" s="693" t="s">
        <v>204</v>
      </c>
      <c r="V104" s="693" t="s">
        <v>204</v>
      </c>
      <c r="W104" s="595" t="s">
        <v>1587</v>
      </c>
      <c r="X104" s="693" t="s">
        <v>883</v>
      </c>
      <c r="Y104" s="60" t="s">
        <v>408</v>
      </c>
      <c r="Z104" s="1141"/>
      <c r="AA104" s="973"/>
      <c r="AB104" s="972"/>
      <c r="AC104" s="1137"/>
      <c r="AD104" s="706">
        <v>1</v>
      </c>
      <c r="AE104" s="959"/>
      <c r="AF104" s="959"/>
      <c r="AG104" s="959"/>
      <c r="AH104" s="959"/>
      <c r="AI104" s="959"/>
      <c r="AJ104" s="693" t="s">
        <v>1298</v>
      </c>
      <c r="AK104" s="1034"/>
      <c r="AL104" s="959"/>
      <c r="AM104" s="1140"/>
      <c r="AN104" s="959"/>
      <c r="AO104" s="1137"/>
      <c r="AP104" s="973"/>
      <c r="AQ104" s="1123"/>
      <c r="AR104" s="959"/>
      <c r="AS104" s="1142"/>
      <c r="AT104" s="973"/>
      <c r="AU104" s="1016"/>
      <c r="AV104" s="954"/>
      <c r="AW104" s="954"/>
      <c r="AX104" s="954"/>
      <c r="AY104" s="954"/>
      <c r="AZ104" s="1143"/>
      <c r="BA104" s="1140"/>
      <c r="BB104" s="959"/>
      <c r="BC104" s="1113"/>
      <c r="BD104" s="973"/>
      <c r="BE104" s="963"/>
      <c r="BF104" s="954"/>
      <c r="BG104" s="954"/>
      <c r="BH104" s="954"/>
      <c r="BI104" s="954"/>
      <c r="BJ104" s="962"/>
      <c r="BK104" s="1140"/>
      <c r="BL104" s="959"/>
      <c r="BM104" s="1113"/>
      <c r="BN104" s="973"/>
      <c r="BO104" s="973"/>
      <c r="BP104" s="954"/>
      <c r="BQ104" s="954"/>
      <c r="BR104" s="954"/>
      <c r="BS104" s="954"/>
      <c r="BT104" s="954"/>
      <c r="BU104" s="1140"/>
      <c r="BV104" s="959"/>
      <c r="BW104" s="1113"/>
      <c r="BX104" s="973"/>
      <c r="BY104" s="973"/>
      <c r="BZ104" s="1077"/>
      <c r="CA104" s="1077"/>
      <c r="CB104" s="1077"/>
      <c r="CC104" s="1077"/>
      <c r="CD104" s="1077"/>
      <c r="CE104" s="966"/>
      <c r="CF104" s="966"/>
      <c r="CG104" s="966"/>
      <c r="CH104" s="966"/>
      <c r="CI104" s="966"/>
      <c r="CJ104" s="966"/>
      <c r="CK104" s="966"/>
      <c r="CL104" s="1023"/>
      <c r="CM104" s="136"/>
    </row>
    <row r="105" spans="1:106" s="70" customFormat="1" ht="104.25" hidden="1" customHeight="1" x14ac:dyDescent="0.2">
      <c r="A105" s="785">
        <v>11700</v>
      </c>
      <c r="B105" s="693" t="s">
        <v>14</v>
      </c>
      <c r="C105" s="693" t="s">
        <v>335</v>
      </c>
      <c r="D105" s="693"/>
      <c r="E105" s="693"/>
      <c r="F105" s="693"/>
      <c r="G105" s="693"/>
      <c r="H105" s="693" t="s">
        <v>1023</v>
      </c>
      <c r="I105" s="693"/>
      <c r="J105" s="693"/>
      <c r="K105" s="693"/>
      <c r="L105" s="693" t="s">
        <v>1023</v>
      </c>
      <c r="M105" s="693"/>
      <c r="N105" s="693"/>
      <c r="O105" s="693"/>
      <c r="P105" s="693"/>
      <c r="Q105" s="693" t="s">
        <v>204</v>
      </c>
      <c r="R105" s="693" t="s">
        <v>204</v>
      </c>
      <c r="S105" s="695" t="s">
        <v>111</v>
      </c>
      <c r="T105" s="693" t="s">
        <v>94</v>
      </c>
      <c r="U105" s="693" t="s">
        <v>204</v>
      </c>
      <c r="V105" s="693" t="s">
        <v>204</v>
      </c>
      <c r="W105" s="595" t="s">
        <v>1588</v>
      </c>
      <c r="X105" s="693" t="s">
        <v>813</v>
      </c>
      <c r="Y105" s="60" t="s">
        <v>408</v>
      </c>
      <c r="Z105" s="1141"/>
      <c r="AA105" s="973"/>
      <c r="AB105" s="972"/>
      <c r="AC105" s="1137"/>
      <c r="AD105" s="706">
        <v>1</v>
      </c>
      <c r="AE105" s="959"/>
      <c r="AF105" s="959"/>
      <c r="AG105" s="959"/>
      <c r="AH105" s="959"/>
      <c r="AI105" s="959"/>
      <c r="AJ105" s="693" t="s">
        <v>1298</v>
      </c>
      <c r="AK105" s="1034"/>
      <c r="AL105" s="959"/>
      <c r="AM105" s="1140"/>
      <c r="AN105" s="959"/>
      <c r="AO105" s="1137"/>
      <c r="AP105" s="973"/>
      <c r="AQ105" s="1123"/>
      <c r="AR105" s="959"/>
      <c r="AS105" s="1142"/>
      <c r="AT105" s="973"/>
      <c r="AU105" s="1016"/>
      <c r="AV105" s="954"/>
      <c r="AW105" s="954"/>
      <c r="AX105" s="954"/>
      <c r="AY105" s="954"/>
      <c r="AZ105" s="1143"/>
      <c r="BA105" s="1140"/>
      <c r="BB105" s="959"/>
      <c r="BC105" s="1113"/>
      <c r="BD105" s="973"/>
      <c r="BE105" s="963"/>
      <c r="BF105" s="954"/>
      <c r="BG105" s="954"/>
      <c r="BH105" s="954"/>
      <c r="BI105" s="954"/>
      <c r="BJ105" s="962"/>
      <c r="BK105" s="1140"/>
      <c r="BL105" s="959"/>
      <c r="BM105" s="1113"/>
      <c r="BN105" s="973"/>
      <c r="BO105" s="973"/>
      <c r="BP105" s="954"/>
      <c r="BQ105" s="954"/>
      <c r="BR105" s="954"/>
      <c r="BS105" s="954"/>
      <c r="BT105" s="954"/>
      <c r="BU105" s="1140"/>
      <c r="BV105" s="959"/>
      <c r="BW105" s="1113"/>
      <c r="BX105" s="973"/>
      <c r="BY105" s="973"/>
      <c r="BZ105" s="1077"/>
      <c r="CA105" s="1077"/>
      <c r="CB105" s="1077"/>
      <c r="CC105" s="1077"/>
      <c r="CD105" s="1077"/>
      <c r="CE105" s="966"/>
      <c r="CF105" s="966"/>
      <c r="CG105" s="966"/>
      <c r="CH105" s="966"/>
      <c r="CI105" s="966"/>
      <c r="CJ105" s="966"/>
      <c r="CK105" s="966"/>
      <c r="CL105" s="1023"/>
      <c r="CM105" s="136"/>
    </row>
    <row r="106" spans="1:106" s="70" customFormat="1" ht="104.25" hidden="1" customHeight="1" x14ac:dyDescent="0.2">
      <c r="A106" s="785">
        <v>11700</v>
      </c>
      <c r="B106" s="693" t="s">
        <v>14</v>
      </c>
      <c r="C106" s="693" t="s">
        <v>335</v>
      </c>
      <c r="D106" s="693"/>
      <c r="E106" s="693"/>
      <c r="F106" s="693"/>
      <c r="G106" s="693"/>
      <c r="H106" s="693" t="s">
        <v>1023</v>
      </c>
      <c r="I106" s="693"/>
      <c r="J106" s="693"/>
      <c r="K106" s="693"/>
      <c r="L106" s="693" t="s">
        <v>1023</v>
      </c>
      <c r="M106" s="693"/>
      <c r="N106" s="693"/>
      <c r="O106" s="693"/>
      <c r="P106" s="693"/>
      <c r="Q106" s="693" t="s">
        <v>204</v>
      </c>
      <c r="R106" s="693" t="s">
        <v>204</v>
      </c>
      <c r="S106" s="695" t="s">
        <v>111</v>
      </c>
      <c r="T106" s="693" t="s">
        <v>94</v>
      </c>
      <c r="U106" s="693" t="s">
        <v>204</v>
      </c>
      <c r="V106" s="693" t="s">
        <v>204</v>
      </c>
      <c r="W106" s="595" t="s">
        <v>1589</v>
      </c>
      <c r="X106" s="693" t="s">
        <v>884</v>
      </c>
      <c r="Y106" s="60" t="s">
        <v>408</v>
      </c>
      <c r="Z106" s="1141"/>
      <c r="AA106" s="973"/>
      <c r="AB106" s="972"/>
      <c r="AC106" s="1137"/>
      <c r="AD106" s="706">
        <v>1</v>
      </c>
      <c r="AE106" s="959"/>
      <c r="AF106" s="959"/>
      <c r="AG106" s="959"/>
      <c r="AH106" s="959"/>
      <c r="AI106" s="959"/>
      <c r="AJ106" s="693" t="s">
        <v>1298</v>
      </c>
      <c r="AK106" s="1034"/>
      <c r="AL106" s="959"/>
      <c r="AM106" s="1140"/>
      <c r="AN106" s="959"/>
      <c r="AO106" s="1137"/>
      <c r="AP106" s="973"/>
      <c r="AQ106" s="1123"/>
      <c r="AR106" s="959"/>
      <c r="AS106" s="1142"/>
      <c r="AT106" s="973"/>
      <c r="AU106" s="1016"/>
      <c r="AV106" s="954"/>
      <c r="AW106" s="954"/>
      <c r="AX106" s="954"/>
      <c r="AY106" s="954"/>
      <c r="AZ106" s="1143"/>
      <c r="BA106" s="1140"/>
      <c r="BB106" s="959"/>
      <c r="BC106" s="1113"/>
      <c r="BD106" s="973"/>
      <c r="BE106" s="963"/>
      <c r="BF106" s="954"/>
      <c r="BG106" s="954"/>
      <c r="BH106" s="954"/>
      <c r="BI106" s="954"/>
      <c r="BJ106" s="962"/>
      <c r="BK106" s="1140"/>
      <c r="BL106" s="959"/>
      <c r="BM106" s="1113"/>
      <c r="BN106" s="973"/>
      <c r="BO106" s="973"/>
      <c r="BP106" s="954"/>
      <c r="BQ106" s="954"/>
      <c r="BR106" s="954"/>
      <c r="BS106" s="954"/>
      <c r="BT106" s="954"/>
      <c r="BU106" s="1140"/>
      <c r="BV106" s="959"/>
      <c r="BW106" s="1113"/>
      <c r="BX106" s="973"/>
      <c r="BY106" s="973"/>
      <c r="BZ106" s="1077"/>
      <c r="CA106" s="1077"/>
      <c r="CB106" s="1077"/>
      <c r="CC106" s="1077"/>
      <c r="CD106" s="1077"/>
      <c r="CE106" s="966"/>
      <c r="CF106" s="966"/>
      <c r="CG106" s="966"/>
      <c r="CH106" s="966"/>
      <c r="CI106" s="966"/>
      <c r="CJ106" s="966"/>
      <c r="CK106" s="966"/>
      <c r="CL106" s="1023"/>
      <c r="CM106" s="136"/>
    </row>
    <row r="107" spans="1:106" s="70" customFormat="1" ht="104.25" hidden="1" customHeight="1" x14ac:dyDescent="0.2">
      <c r="A107" s="785">
        <v>11700</v>
      </c>
      <c r="B107" s="693" t="s">
        <v>14</v>
      </c>
      <c r="C107" s="693" t="s">
        <v>335</v>
      </c>
      <c r="D107" s="693"/>
      <c r="E107" s="693"/>
      <c r="F107" s="693"/>
      <c r="G107" s="693"/>
      <c r="H107" s="693" t="s">
        <v>1023</v>
      </c>
      <c r="I107" s="693"/>
      <c r="J107" s="693"/>
      <c r="K107" s="693"/>
      <c r="L107" s="693" t="s">
        <v>1023</v>
      </c>
      <c r="M107" s="693"/>
      <c r="N107" s="693"/>
      <c r="O107" s="693"/>
      <c r="P107" s="693"/>
      <c r="Q107" s="693" t="s">
        <v>204</v>
      </c>
      <c r="R107" s="693" t="s">
        <v>204</v>
      </c>
      <c r="S107" s="695" t="s">
        <v>111</v>
      </c>
      <c r="T107" s="693" t="s">
        <v>94</v>
      </c>
      <c r="U107" s="693" t="s">
        <v>204</v>
      </c>
      <c r="V107" s="693" t="s">
        <v>204</v>
      </c>
      <c r="W107" s="595" t="s">
        <v>1590</v>
      </c>
      <c r="X107" s="693" t="s">
        <v>814</v>
      </c>
      <c r="Y107" s="60" t="s">
        <v>408</v>
      </c>
      <c r="Z107" s="1141"/>
      <c r="AA107" s="973"/>
      <c r="AB107" s="972"/>
      <c r="AC107" s="1137"/>
      <c r="AD107" s="706">
        <v>1</v>
      </c>
      <c r="AE107" s="959"/>
      <c r="AF107" s="959"/>
      <c r="AG107" s="959"/>
      <c r="AH107" s="959"/>
      <c r="AI107" s="959"/>
      <c r="AJ107" s="693" t="s">
        <v>1298</v>
      </c>
      <c r="AK107" s="1034"/>
      <c r="AL107" s="959"/>
      <c r="AM107" s="1140"/>
      <c r="AN107" s="959"/>
      <c r="AO107" s="1137"/>
      <c r="AP107" s="973"/>
      <c r="AQ107" s="1123"/>
      <c r="AR107" s="959"/>
      <c r="AS107" s="1142"/>
      <c r="AT107" s="973"/>
      <c r="AU107" s="1016"/>
      <c r="AV107" s="954"/>
      <c r="AW107" s="954"/>
      <c r="AX107" s="954"/>
      <c r="AY107" s="954"/>
      <c r="AZ107" s="1143"/>
      <c r="BA107" s="1140"/>
      <c r="BB107" s="959"/>
      <c r="BC107" s="1113"/>
      <c r="BD107" s="973"/>
      <c r="BE107" s="963"/>
      <c r="BF107" s="954"/>
      <c r="BG107" s="954"/>
      <c r="BH107" s="954"/>
      <c r="BI107" s="954"/>
      <c r="BJ107" s="962"/>
      <c r="BK107" s="1140"/>
      <c r="BL107" s="959"/>
      <c r="BM107" s="1113"/>
      <c r="BN107" s="973"/>
      <c r="BO107" s="973"/>
      <c r="BP107" s="954"/>
      <c r="BQ107" s="954"/>
      <c r="BR107" s="954"/>
      <c r="BS107" s="954"/>
      <c r="BT107" s="954"/>
      <c r="BU107" s="1140"/>
      <c r="BV107" s="959"/>
      <c r="BW107" s="1113"/>
      <c r="BX107" s="973"/>
      <c r="BY107" s="973"/>
      <c r="BZ107" s="1077"/>
      <c r="CA107" s="1077"/>
      <c r="CB107" s="1077"/>
      <c r="CC107" s="1077"/>
      <c r="CD107" s="1077"/>
      <c r="CE107" s="966"/>
      <c r="CF107" s="966"/>
      <c r="CG107" s="966"/>
      <c r="CH107" s="966"/>
      <c r="CI107" s="966"/>
      <c r="CJ107" s="966"/>
      <c r="CK107" s="966"/>
      <c r="CL107" s="1023"/>
      <c r="CM107" s="136"/>
    </row>
    <row r="108" spans="1:106" s="70" customFormat="1" ht="104.25" hidden="1" customHeight="1" x14ac:dyDescent="0.2">
      <c r="A108" s="785">
        <v>11700</v>
      </c>
      <c r="B108" s="693" t="s">
        <v>14</v>
      </c>
      <c r="C108" s="693" t="s">
        <v>335</v>
      </c>
      <c r="D108" s="693"/>
      <c r="E108" s="693"/>
      <c r="F108" s="693"/>
      <c r="G108" s="693"/>
      <c r="H108" s="693" t="s">
        <v>1023</v>
      </c>
      <c r="I108" s="693"/>
      <c r="J108" s="693"/>
      <c r="K108" s="693"/>
      <c r="L108" s="693" t="s">
        <v>1023</v>
      </c>
      <c r="M108" s="693"/>
      <c r="N108" s="693"/>
      <c r="O108" s="693"/>
      <c r="P108" s="693"/>
      <c r="Q108" s="693" t="s">
        <v>204</v>
      </c>
      <c r="R108" s="693" t="s">
        <v>204</v>
      </c>
      <c r="S108" s="695" t="s">
        <v>111</v>
      </c>
      <c r="T108" s="693" t="s">
        <v>94</v>
      </c>
      <c r="U108" s="693" t="s">
        <v>204</v>
      </c>
      <c r="V108" s="693" t="s">
        <v>204</v>
      </c>
      <c r="W108" s="595" t="s">
        <v>1591</v>
      </c>
      <c r="X108" s="693" t="s">
        <v>818</v>
      </c>
      <c r="Y108" s="60" t="s">
        <v>408</v>
      </c>
      <c r="Z108" s="1141"/>
      <c r="AA108" s="973"/>
      <c r="AB108" s="972"/>
      <c r="AC108" s="1137"/>
      <c r="AD108" s="706">
        <v>1</v>
      </c>
      <c r="AE108" s="959"/>
      <c r="AF108" s="959"/>
      <c r="AG108" s="959"/>
      <c r="AH108" s="959"/>
      <c r="AI108" s="959"/>
      <c r="AJ108" s="693" t="s">
        <v>1298</v>
      </c>
      <c r="AK108" s="1034"/>
      <c r="AL108" s="959"/>
      <c r="AM108" s="1140"/>
      <c r="AN108" s="959"/>
      <c r="AO108" s="1137"/>
      <c r="AP108" s="973"/>
      <c r="AQ108" s="1123"/>
      <c r="AR108" s="959"/>
      <c r="AS108" s="1142"/>
      <c r="AT108" s="973"/>
      <c r="AU108" s="1016"/>
      <c r="AV108" s="954"/>
      <c r="AW108" s="954"/>
      <c r="AX108" s="954"/>
      <c r="AY108" s="954"/>
      <c r="AZ108" s="1143"/>
      <c r="BA108" s="1140"/>
      <c r="BB108" s="959"/>
      <c r="BC108" s="1113"/>
      <c r="BD108" s="973"/>
      <c r="BE108" s="963"/>
      <c r="BF108" s="954"/>
      <c r="BG108" s="954"/>
      <c r="BH108" s="954"/>
      <c r="BI108" s="954"/>
      <c r="BJ108" s="962"/>
      <c r="BK108" s="1140"/>
      <c r="BL108" s="959"/>
      <c r="BM108" s="1113"/>
      <c r="BN108" s="973"/>
      <c r="BO108" s="973"/>
      <c r="BP108" s="954"/>
      <c r="BQ108" s="954"/>
      <c r="BR108" s="954"/>
      <c r="BS108" s="954"/>
      <c r="BT108" s="954"/>
      <c r="BU108" s="1140"/>
      <c r="BV108" s="959"/>
      <c r="BW108" s="1113"/>
      <c r="BX108" s="973"/>
      <c r="BY108" s="973"/>
      <c r="BZ108" s="1077"/>
      <c r="CA108" s="1077"/>
      <c r="CB108" s="1077"/>
      <c r="CC108" s="1077"/>
      <c r="CD108" s="1077"/>
      <c r="CE108" s="966"/>
      <c r="CF108" s="966"/>
      <c r="CG108" s="966"/>
      <c r="CH108" s="966"/>
      <c r="CI108" s="966"/>
      <c r="CJ108" s="966"/>
      <c r="CK108" s="966"/>
      <c r="CL108" s="1023"/>
      <c r="CM108" s="136"/>
    </row>
    <row r="109" spans="1:106" s="70" customFormat="1" ht="104.25" hidden="1" customHeight="1" x14ac:dyDescent="0.2">
      <c r="A109" s="785">
        <v>11700</v>
      </c>
      <c r="B109" s="693" t="s">
        <v>14</v>
      </c>
      <c r="C109" s="693" t="s">
        <v>335</v>
      </c>
      <c r="D109" s="693"/>
      <c r="E109" s="693"/>
      <c r="F109" s="693"/>
      <c r="G109" s="693"/>
      <c r="H109" s="693" t="s">
        <v>1023</v>
      </c>
      <c r="I109" s="693"/>
      <c r="J109" s="693"/>
      <c r="K109" s="693"/>
      <c r="L109" s="693" t="s">
        <v>1023</v>
      </c>
      <c r="M109" s="693"/>
      <c r="N109" s="693"/>
      <c r="O109" s="693"/>
      <c r="P109" s="693"/>
      <c r="Q109" s="693" t="s">
        <v>204</v>
      </c>
      <c r="R109" s="693" t="s">
        <v>204</v>
      </c>
      <c r="S109" s="695" t="s">
        <v>111</v>
      </c>
      <c r="T109" s="693" t="s">
        <v>94</v>
      </c>
      <c r="U109" s="693" t="s">
        <v>204</v>
      </c>
      <c r="V109" s="693" t="s">
        <v>204</v>
      </c>
      <c r="W109" s="595" t="s">
        <v>1592</v>
      </c>
      <c r="X109" s="693" t="s">
        <v>828</v>
      </c>
      <c r="Y109" s="60" t="s">
        <v>408</v>
      </c>
      <c r="Z109" s="1141"/>
      <c r="AA109" s="973"/>
      <c r="AB109" s="972"/>
      <c r="AC109" s="1137"/>
      <c r="AD109" s="706">
        <v>1</v>
      </c>
      <c r="AE109" s="959"/>
      <c r="AF109" s="959"/>
      <c r="AG109" s="959"/>
      <c r="AH109" s="959"/>
      <c r="AI109" s="959"/>
      <c r="AJ109" s="693" t="s">
        <v>1298</v>
      </c>
      <c r="AK109" s="1034"/>
      <c r="AL109" s="959"/>
      <c r="AM109" s="1140"/>
      <c r="AN109" s="959"/>
      <c r="AO109" s="1137"/>
      <c r="AP109" s="973"/>
      <c r="AQ109" s="1123"/>
      <c r="AR109" s="959"/>
      <c r="AS109" s="1142"/>
      <c r="AT109" s="973"/>
      <c r="AU109" s="1016"/>
      <c r="AV109" s="954"/>
      <c r="AW109" s="954"/>
      <c r="AX109" s="954"/>
      <c r="AY109" s="954"/>
      <c r="AZ109" s="1143"/>
      <c r="BA109" s="1140"/>
      <c r="BB109" s="959"/>
      <c r="BC109" s="1113"/>
      <c r="BD109" s="973"/>
      <c r="BE109" s="963"/>
      <c r="BF109" s="954"/>
      <c r="BG109" s="954"/>
      <c r="BH109" s="954"/>
      <c r="BI109" s="954"/>
      <c r="BJ109" s="962"/>
      <c r="BK109" s="1140"/>
      <c r="BL109" s="959"/>
      <c r="BM109" s="1113"/>
      <c r="BN109" s="973"/>
      <c r="BO109" s="973"/>
      <c r="BP109" s="954"/>
      <c r="BQ109" s="954"/>
      <c r="BR109" s="954"/>
      <c r="BS109" s="954"/>
      <c r="BT109" s="954"/>
      <c r="BU109" s="1140"/>
      <c r="BV109" s="959"/>
      <c r="BW109" s="1113"/>
      <c r="BX109" s="973"/>
      <c r="BY109" s="973"/>
      <c r="BZ109" s="1077"/>
      <c r="CA109" s="1077"/>
      <c r="CB109" s="1077"/>
      <c r="CC109" s="1077"/>
      <c r="CD109" s="1077"/>
      <c r="CE109" s="966"/>
      <c r="CF109" s="966"/>
      <c r="CG109" s="966"/>
      <c r="CH109" s="966"/>
      <c r="CI109" s="966"/>
      <c r="CJ109" s="966"/>
      <c r="CK109" s="966"/>
      <c r="CL109" s="1023"/>
      <c r="CM109" s="136"/>
    </row>
    <row r="110" spans="1:106" s="70" customFormat="1" ht="104.25" hidden="1" customHeight="1" x14ac:dyDescent="0.2">
      <c r="A110" s="785">
        <v>11700</v>
      </c>
      <c r="B110" s="693" t="s">
        <v>14</v>
      </c>
      <c r="C110" s="693" t="s">
        <v>335</v>
      </c>
      <c r="D110" s="693"/>
      <c r="E110" s="693"/>
      <c r="F110" s="693"/>
      <c r="G110" s="693"/>
      <c r="H110" s="693" t="s">
        <v>1023</v>
      </c>
      <c r="I110" s="693"/>
      <c r="J110" s="693"/>
      <c r="K110" s="693"/>
      <c r="L110" s="693" t="s">
        <v>1023</v>
      </c>
      <c r="M110" s="693"/>
      <c r="N110" s="693"/>
      <c r="O110" s="693"/>
      <c r="P110" s="693"/>
      <c r="Q110" s="693" t="s">
        <v>204</v>
      </c>
      <c r="R110" s="693" t="s">
        <v>204</v>
      </c>
      <c r="S110" s="695" t="s">
        <v>111</v>
      </c>
      <c r="T110" s="693" t="s">
        <v>94</v>
      </c>
      <c r="U110" s="693" t="s">
        <v>204</v>
      </c>
      <c r="V110" s="693" t="s">
        <v>204</v>
      </c>
      <c r="W110" s="595" t="s">
        <v>1593</v>
      </c>
      <c r="X110" s="693" t="s">
        <v>829</v>
      </c>
      <c r="Y110" s="60" t="s">
        <v>408</v>
      </c>
      <c r="Z110" s="1141"/>
      <c r="AA110" s="973"/>
      <c r="AB110" s="972"/>
      <c r="AC110" s="1137"/>
      <c r="AD110" s="706">
        <v>1</v>
      </c>
      <c r="AE110" s="959"/>
      <c r="AF110" s="959"/>
      <c r="AG110" s="959"/>
      <c r="AH110" s="959"/>
      <c r="AI110" s="959"/>
      <c r="AJ110" s="693" t="s">
        <v>1298</v>
      </c>
      <c r="AK110" s="1034"/>
      <c r="AL110" s="959"/>
      <c r="AM110" s="1140"/>
      <c r="AN110" s="959"/>
      <c r="AO110" s="1137"/>
      <c r="AP110" s="973"/>
      <c r="AQ110" s="1123"/>
      <c r="AR110" s="959"/>
      <c r="AS110" s="1142"/>
      <c r="AT110" s="973"/>
      <c r="AU110" s="1016"/>
      <c r="AV110" s="954"/>
      <c r="AW110" s="954"/>
      <c r="AX110" s="954"/>
      <c r="AY110" s="954"/>
      <c r="AZ110" s="1143"/>
      <c r="BA110" s="1140"/>
      <c r="BB110" s="959"/>
      <c r="BC110" s="1113"/>
      <c r="BD110" s="973"/>
      <c r="BE110" s="963"/>
      <c r="BF110" s="954"/>
      <c r="BG110" s="954"/>
      <c r="BH110" s="954"/>
      <c r="BI110" s="954"/>
      <c r="BJ110" s="962"/>
      <c r="BK110" s="1140"/>
      <c r="BL110" s="959"/>
      <c r="BM110" s="1113"/>
      <c r="BN110" s="973"/>
      <c r="BO110" s="973"/>
      <c r="BP110" s="954"/>
      <c r="BQ110" s="954"/>
      <c r="BR110" s="954"/>
      <c r="BS110" s="954"/>
      <c r="BT110" s="954"/>
      <c r="BU110" s="1140"/>
      <c r="BV110" s="959"/>
      <c r="BW110" s="1113"/>
      <c r="BX110" s="973"/>
      <c r="BY110" s="973"/>
      <c r="BZ110" s="1077"/>
      <c r="CA110" s="1077"/>
      <c r="CB110" s="1077"/>
      <c r="CC110" s="1077"/>
      <c r="CD110" s="1077"/>
      <c r="CE110" s="966"/>
      <c r="CF110" s="966"/>
      <c r="CG110" s="966"/>
      <c r="CH110" s="966"/>
      <c r="CI110" s="966"/>
      <c r="CJ110" s="966"/>
      <c r="CK110" s="966"/>
      <c r="CL110" s="1023"/>
      <c r="CM110" s="136"/>
    </row>
    <row r="111" spans="1:106" s="70" customFormat="1" ht="104.25" hidden="1" customHeight="1" x14ac:dyDescent="0.2">
      <c r="A111" s="785">
        <v>11700</v>
      </c>
      <c r="B111" s="693" t="s">
        <v>14</v>
      </c>
      <c r="C111" s="693" t="s">
        <v>335</v>
      </c>
      <c r="D111" s="693"/>
      <c r="E111" s="693"/>
      <c r="F111" s="693"/>
      <c r="G111" s="693"/>
      <c r="H111" s="693" t="s">
        <v>1023</v>
      </c>
      <c r="I111" s="693"/>
      <c r="J111" s="693"/>
      <c r="K111" s="693"/>
      <c r="L111" s="693" t="s">
        <v>1023</v>
      </c>
      <c r="M111" s="693"/>
      <c r="N111" s="693"/>
      <c r="O111" s="693"/>
      <c r="P111" s="693"/>
      <c r="Q111" s="693" t="s">
        <v>204</v>
      </c>
      <c r="R111" s="693" t="s">
        <v>204</v>
      </c>
      <c r="S111" s="695" t="s">
        <v>111</v>
      </c>
      <c r="T111" s="693" t="s">
        <v>94</v>
      </c>
      <c r="U111" s="693" t="s">
        <v>204</v>
      </c>
      <c r="V111" s="693" t="s">
        <v>204</v>
      </c>
      <c r="W111" s="595" t="s">
        <v>1594</v>
      </c>
      <c r="X111" s="693" t="s">
        <v>830</v>
      </c>
      <c r="Y111" s="60" t="s">
        <v>408</v>
      </c>
      <c r="Z111" s="1141"/>
      <c r="AA111" s="973"/>
      <c r="AB111" s="972"/>
      <c r="AC111" s="1137"/>
      <c r="AD111" s="706">
        <v>1</v>
      </c>
      <c r="AE111" s="959"/>
      <c r="AF111" s="959"/>
      <c r="AG111" s="959"/>
      <c r="AH111" s="959"/>
      <c r="AI111" s="959"/>
      <c r="AJ111" s="693" t="s">
        <v>1298</v>
      </c>
      <c r="AK111" s="1034"/>
      <c r="AL111" s="959"/>
      <c r="AM111" s="1140"/>
      <c r="AN111" s="959"/>
      <c r="AO111" s="1137"/>
      <c r="AP111" s="973"/>
      <c r="AQ111" s="1123"/>
      <c r="AR111" s="959"/>
      <c r="AS111" s="1142"/>
      <c r="AT111" s="973"/>
      <c r="AU111" s="1016"/>
      <c r="AV111" s="954"/>
      <c r="AW111" s="954"/>
      <c r="AX111" s="954"/>
      <c r="AY111" s="954"/>
      <c r="AZ111" s="1143"/>
      <c r="BA111" s="1140"/>
      <c r="BB111" s="959"/>
      <c r="BC111" s="1113"/>
      <c r="BD111" s="973"/>
      <c r="BE111" s="963"/>
      <c r="BF111" s="954"/>
      <c r="BG111" s="954"/>
      <c r="BH111" s="954"/>
      <c r="BI111" s="954"/>
      <c r="BJ111" s="962"/>
      <c r="BK111" s="1140"/>
      <c r="BL111" s="959"/>
      <c r="BM111" s="1113"/>
      <c r="BN111" s="973"/>
      <c r="BO111" s="973"/>
      <c r="BP111" s="954"/>
      <c r="BQ111" s="954"/>
      <c r="BR111" s="954"/>
      <c r="BS111" s="954"/>
      <c r="BT111" s="954"/>
      <c r="BU111" s="1140"/>
      <c r="BV111" s="959"/>
      <c r="BW111" s="1113"/>
      <c r="BX111" s="973"/>
      <c r="BY111" s="973"/>
      <c r="BZ111" s="1077"/>
      <c r="CA111" s="1077"/>
      <c r="CB111" s="1077"/>
      <c r="CC111" s="1077"/>
      <c r="CD111" s="1077"/>
      <c r="CE111" s="966"/>
      <c r="CF111" s="966"/>
      <c r="CG111" s="966"/>
      <c r="CH111" s="966"/>
      <c r="CI111" s="966"/>
      <c r="CJ111" s="966"/>
      <c r="CK111" s="966"/>
      <c r="CL111" s="1023"/>
      <c r="CM111" s="136"/>
    </row>
    <row r="112" spans="1:106" s="70" customFormat="1" ht="104.25" hidden="1" customHeight="1" x14ac:dyDescent="0.2">
      <c r="A112" s="785">
        <v>11700</v>
      </c>
      <c r="B112" s="693" t="s">
        <v>14</v>
      </c>
      <c r="C112" s="693" t="s">
        <v>335</v>
      </c>
      <c r="D112" s="693"/>
      <c r="E112" s="693"/>
      <c r="F112" s="693"/>
      <c r="G112" s="693"/>
      <c r="H112" s="693" t="s">
        <v>1023</v>
      </c>
      <c r="I112" s="693"/>
      <c r="J112" s="693"/>
      <c r="K112" s="693"/>
      <c r="L112" s="693" t="s">
        <v>1023</v>
      </c>
      <c r="M112" s="693"/>
      <c r="N112" s="693"/>
      <c r="O112" s="693"/>
      <c r="P112" s="693"/>
      <c r="Q112" s="693" t="s">
        <v>204</v>
      </c>
      <c r="R112" s="693" t="s">
        <v>204</v>
      </c>
      <c r="S112" s="695" t="s">
        <v>111</v>
      </c>
      <c r="T112" s="693" t="s">
        <v>94</v>
      </c>
      <c r="U112" s="693" t="s">
        <v>204</v>
      </c>
      <c r="V112" s="693" t="s">
        <v>204</v>
      </c>
      <c r="W112" s="595" t="s">
        <v>1595</v>
      </c>
      <c r="X112" s="702" t="s">
        <v>1584</v>
      </c>
      <c r="Y112" s="60" t="s">
        <v>391</v>
      </c>
      <c r="Z112" s="1141"/>
      <c r="AA112" s="973"/>
      <c r="AB112" s="972"/>
      <c r="AC112" s="1137"/>
      <c r="AD112" s="706">
        <v>1</v>
      </c>
      <c r="AE112" s="959"/>
      <c r="AF112" s="959"/>
      <c r="AG112" s="959"/>
      <c r="AH112" s="959"/>
      <c r="AI112" s="959"/>
      <c r="AJ112" s="693" t="s">
        <v>1298</v>
      </c>
      <c r="AK112" s="1034"/>
      <c r="AL112" s="959"/>
      <c r="AM112" s="1140"/>
      <c r="AN112" s="959"/>
      <c r="AO112" s="1137"/>
      <c r="AP112" s="973"/>
      <c r="AQ112" s="1123"/>
      <c r="AR112" s="959"/>
      <c r="AS112" s="1142"/>
      <c r="AT112" s="973"/>
      <c r="AU112" s="1016"/>
      <c r="AV112" s="954"/>
      <c r="AW112" s="954"/>
      <c r="AX112" s="954"/>
      <c r="AY112" s="954"/>
      <c r="AZ112" s="1143"/>
      <c r="BA112" s="1140"/>
      <c r="BB112" s="959"/>
      <c r="BC112" s="1113"/>
      <c r="BD112" s="973"/>
      <c r="BE112" s="963"/>
      <c r="BF112" s="954"/>
      <c r="BG112" s="954"/>
      <c r="BH112" s="954"/>
      <c r="BI112" s="954"/>
      <c r="BJ112" s="962"/>
      <c r="BK112" s="1140"/>
      <c r="BL112" s="959"/>
      <c r="BM112" s="1113"/>
      <c r="BN112" s="973"/>
      <c r="BO112" s="973"/>
      <c r="BP112" s="954"/>
      <c r="BQ112" s="954"/>
      <c r="BR112" s="954"/>
      <c r="BS112" s="954"/>
      <c r="BT112" s="954"/>
      <c r="BU112" s="1140"/>
      <c r="BV112" s="959"/>
      <c r="BW112" s="1113"/>
      <c r="BX112" s="973"/>
      <c r="BY112" s="973"/>
      <c r="BZ112" s="1077"/>
      <c r="CA112" s="1077"/>
      <c r="CB112" s="1077"/>
      <c r="CC112" s="1077"/>
      <c r="CD112" s="1077"/>
      <c r="CE112" s="966"/>
      <c r="CF112" s="966"/>
      <c r="CG112" s="966"/>
      <c r="CH112" s="966"/>
      <c r="CI112" s="966"/>
      <c r="CJ112" s="966"/>
      <c r="CK112" s="966"/>
      <c r="CL112" s="1023"/>
      <c r="CM112" s="136"/>
    </row>
    <row r="113" spans="1:107" s="614" customFormat="1" ht="105.75" hidden="1" customHeight="1" x14ac:dyDescent="0.2">
      <c r="A113" s="828">
        <v>11700</v>
      </c>
      <c r="B113" s="689" t="s">
        <v>14</v>
      </c>
      <c r="C113" s="689" t="s">
        <v>335</v>
      </c>
      <c r="D113" s="693"/>
      <c r="E113" s="693"/>
      <c r="F113" s="693" t="s">
        <v>1023</v>
      </c>
      <c r="G113" s="693"/>
      <c r="H113" s="693" t="s">
        <v>1023</v>
      </c>
      <c r="I113" s="693"/>
      <c r="J113" s="693"/>
      <c r="K113" s="693"/>
      <c r="L113" s="693" t="s">
        <v>1023</v>
      </c>
      <c r="M113" s="693"/>
      <c r="N113" s="693"/>
      <c r="O113" s="693"/>
      <c r="P113" s="693"/>
      <c r="Q113" s="693" t="s">
        <v>204</v>
      </c>
      <c r="R113" s="693" t="s">
        <v>204</v>
      </c>
      <c r="S113" s="695" t="s">
        <v>238</v>
      </c>
      <c r="T113" s="693" t="s">
        <v>94</v>
      </c>
      <c r="U113" s="693" t="s">
        <v>204</v>
      </c>
      <c r="V113" s="693" t="s">
        <v>204</v>
      </c>
      <c r="W113" s="694" t="s">
        <v>1099</v>
      </c>
      <c r="X113" s="689" t="s">
        <v>809</v>
      </c>
      <c r="Y113" s="649" t="s">
        <v>408</v>
      </c>
      <c r="Z113" s="640">
        <v>1</v>
      </c>
      <c r="AA113" s="973"/>
      <c r="AB113" s="1098"/>
      <c r="AC113" s="704">
        <v>57000000</v>
      </c>
      <c r="AD113" s="706">
        <v>1</v>
      </c>
      <c r="AE113" s="693" t="s">
        <v>16</v>
      </c>
      <c r="AF113" s="693" t="s">
        <v>21</v>
      </c>
      <c r="AG113" s="693" t="s">
        <v>204</v>
      </c>
      <c r="AH113" s="693" t="s">
        <v>638</v>
      </c>
      <c r="AI113" s="693" t="s">
        <v>77</v>
      </c>
      <c r="AJ113" s="693" t="s">
        <v>1298</v>
      </c>
      <c r="AK113" s="1034"/>
      <c r="AL113" s="693" t="s">
        <v>43</v>
      </c>
      <c r="AM113" s="640">
        <v>1</v>
      </c>
      <c r="AN113" s="1083"/>
      <c r="AO113" s="704">
        <v>57000000</v>
      </c>
      <c r="AP113" s="700" t="s">
        <v>46</v>
      </c>
      <c r="AQ113" s="640">
        <v>0</v>
      </c>
      <c r="AR113" s="959"/>
      <c r="AS113" s="621">
        <v>0</v>
      </c>
      <c r="AT113" s="694">
        <v>0</v>
      </c>
      <c r="AU113" s="696">
        <v>0</v>
      </c>
      <c r="AV113" s="692" t="e">
        <f t="shared" ref="AV113:AV117" si="165">+(AT113/AQ113)</f>
        <v>#DIV/0!</v>
      </c>
      <c r="AW113" s="692" t="e">
        <f t="shared" ref="AW113:AW117" si="166">+(AU113/AS113)</f>
        <v>#DIV/0!</v>
      </c>
      <c r="AX113" s="692">
        <f t="shared" ref="AX113:AX117" si="167">+(AT113/AM113)</f>
        <v>0</v>
      </c>
      <c r="AY113" s="692">
        <f t="shared" ref="AY113:AY115" si="168">+(AU113/AO113)</f>
        <v>0</v>
      </c>
      <c r="AZ113" s="642" t="s">
        <v>1343</v>
      </c>
      <c r="BA113" s="651">
        <v>0</v>
      </c>
      <c r="BB113" s="1083"/>
      <c r="BC113" s="696">
        <v>0</v>
      </c>
      <c r="BD113" s="608">
        <v>0</v>
      </c>
      <c r="BE113" s="696">
        <v>0</v>
      </c>
      <c r="BF113" s="692" t="e">
        <f t="shared" ref="BF113:BF117" si="169">+(BD113/BA113)</f>
        <v>#DIV/0!</v>
      </c>
      <c r="BG113" s="692" t="e">
        <f t="shared" ref="BG113:BG117" si="170">+(BE113/BC113)</f>
        <v>#DIV/0!</v>
      </c>
      <c r="BH113" s="692">
        <f t="shared" ref="BH113:BH117" si="171">+(BD113+AT113)/AM113</f>
        <v>0</v>
      </c>
      <c r="BI113" s="692">
        <f t="shared" ref="BI113:BI115" si="172">+(BE113+AU113)/AO113</f>
        <v>0</v>
      </c>
      <c r="BJ113" s="860" t="s">
        <v>1664</v>
      </c>
      <c r="BK113" s="651">
        <v>1</v>
      </c>
      <c r="BL113" s="1083"/>
      <c r="BM113" s="696">
        <f>+AO113</f>
        <v>57000000</v>
      </c>
      <c r="BN113" s="694"/>
      <c r="BO113" s="694"/>
      <c r="BP113" s="692">
        <f t="shared" ref="BP113:BP117" si="173">+(BN113/BK113)</f>
        <v>0</v>
      </c>
      <c r="BQ113" s="692">
        <f t="shared" ref="BQ113:BQ117" si="174">+(BO113/BM113)</f>
        <v>0</v>
      </c>
      <c r="BR113" s="692">
        <f t="shared" ref="BR113:BR117" si="175">+(BD113+AT113+BN113)/AM113</f>
        <v>0</v>
      </c>
      <c r="BS113" s="692">
        <f t="shared" ref="BS113:BS115" si="176">+(BE113+AU113+BO113)/AO113</f>
        <v>0</v>
      </c>
      <c r="BT113" s="692"/>
      <c r="BU113" s="651">
        <v>0</v>
      </c>
      <c r="BV113" s="1083"/>
      <c r="BW113" s="696">
        <v>0</v>
      </c>
      <c r="BX113" s="694"/>
      <c r="BY113" s="694"/>
      <c r="BZ113" s="707" t="e">
        <f t="shared" ref="BZ113:BZ117" si="177">+(BX113/BU113)</f>
        <v>#DIV/0!</v>
      </c>
      <c r="CA113" s="707" t="e">
        <f t="shared" ref="CA113:CA117" si="178">+(BY113/BW113)</f>
        <v>#DIV/0!</v>
      </c>
      <c r="CB113" s="707">
        <f t="shared" ref="CB113:CB117" si="179">+(BD113+AT113+BN113+BX113)/AM113</f>
        <v>0</v>
      </c>
      <c r="CC113" s="707">
        <f t="shared" ref="CC113:CC115" si="180">+(BE113+AU113+BO113+BY113)/AO113</f>
        <v>0</v>
      </c>
      <c r="CD113" s="707"/>
      <c r="CE113" s="699" t="str">
        <f t="shared" si="156"/>
        <v>No Prog ni Ejec</v>
      </c>
      <c r="CF113" s="699" t="str">
        <f t="shared" si="157"/>
        <v>No Prog ni Ejec</v>
      </c>
      <c r="CG113" s="699" t="str">
        <f t="shared" si="158"/>
        <v>No Prog ni Ejec</v>
      </c>
      <c r="CH113" s="699" t="str">
        <f t="shared" si="159"/>
        <v>No Prog ni Ejec</v>
      </c>
      <c r="CI113" s="699">
        <f t="shared" si="160"/>
        <v>0</v>
      </c>
      <c r="CJ113" s="699">
        <f t="shared" si="161"/>
        <v>0</v>
      </c>
      <c r="CK113" s="699" t="str">
        <f t="shared" si="162"/>
        <v>No Prog ni Ejec</v>
      </c>
      <c r="CL113" s="879" t="str">
        <f t="shared" si="163"/>
        <v>No Prog ni Ejec</v>
      </c>
      <c r="CM113" s="613">
        <f t="shared" si="133"/>
        <v>0</v>
      </c>
      <c r="CR113" s="70"/>
      <c r="CS113" s="70"/>
      <c r="CT113" s="70"/>
      <c r="CU113" s="70"/>
      <c r="CV113" s="70"/>
      <c r="CW113" s="70"/>
      <c r="CX113" s="70">
        <v>7</v>
      </c>
      <c r="CY113" s="70"/>
      <c r="CZ113" s="70"/>
      <c r="DA113" s="70"/>
      <c r="DB113" s="70">
        <v>11</v>
      </c>
      <c r="DC113" s="70"/>
    </row>
    <row r="114" spans="1:107" s="70" customFormat="1" ht="89.25" hidden="1" x14ac:dyDescent="0.2">
      <c r="A114" s="785">
        <v>11700</v>
      </c>
      <c r="B114" s="693" t="s">
        <v>14</v>
      </c>
      <c r="C114" s="693" t="s">
        <v>335</v>
      </c>
      <c r="D114" s="693"/>
      <c r="E114" s="693"/>
      <c r="F114" s="693" t="s">
        <v>1023</v>
      </c>
      <c r="G114" s="693"/>
      <c r="H114" s="693" t="s">
        <v>1023</v>
      </c>
      <c r="I114" s="693"/>
      <c r="J114" s="693"/>
      <c r="K114" s="693"/>
      <c r="L114" s="693" t="s">
        <v>1023</v>
      </c>
      <c r="M114" s="693"/>
      <c r="N114" s="693"/>
      <c r="O114" s="693"/>
      <c r="P114" s="693"/>
      <c r="Q114" s="693" t="s">
        <v>204</v>
      </c>
      <c r="R114" s="693" t="s">
        <v>204</v>
      </c>
      <c r="S114" s="695" t="s">
        <v>238</v>
      </c>
      <c r="T114" s="693" t="s">
        <v>94</v>
      </c>
      <c r="U114" s="693" t="s">
        <v>204</v>
      </c>
      <c r="V114" s="693" t="s">
        <v>204</v>
      </c>
      <c r="W114" s="695" t="s">
        <v>807</v>
      </c>
      <c r="X114" s="693" t="s">
        <v>815</v>
      </c>
      <c r="Y114" s="60" t="s">
        <v>408</v>
      </c>
      <c r="Z114" s="66">
        <v>1</v>
      </c>
      <c r="AA114" s="695" t="s">
        <v>797</v>
      </c>
      <c r="AB114" s="693" t="s">
        <v>820</v>
      </c>
      <c r="AC114" s="647">
        <v>0</v>
      </c>
      <c r="AD114" s="706">
        <v>1</v>
      </c>
      <c r="AE114" s="693" t="s">
        <v>16</v>
      </c>
      <c r="AF114" s="693" t="s">
        <v>21</v>
      </c>
      <c r="AG114" s="693" t="s">
        <v>204</v>
      </c>
      <c r="AH114" s="693" t="s">
        <v>638</v>
      </c>
      <c r="AI114" s="693" t="s">
        <v>77</v>
      </c>
      <c r="AJ114" s="693" t="s">
        <v>1298</v>
      </c>
      <c r="AK114" s="353" t="s">
        <v>831</v>
      </c>
      <c r="AL114" s="693" t="s">
        <v>43</v>
      </c>
      <c r="AM114" s="66">
        <v>1</v>
      </c>
      <c r="AN114" s="693" t="str">
        <f>+AB114</f>
        <v>Determinar y analizar el estado de la satisfacción laboral de los funcionarios, para identificar aspectos que puedan entorpecer la obtención de resultados de acuerdo a la misión de la entidad</v>
      </c>
      <c r="AO114" s="703">
        <v>0</v>
      </c>
      <c r="AP114" s="700" t="s">
        <v>46</v>
      </c>
      <c r="AQ114" s="163">
        <v>0</v>
      </c>
      <c r="AR114" s="693" t="str">
        <f>+AN114</f>
        <v>Determinar y analizar el estado de la satisfacción laboral de los funcionarios, para identificar aspectos que puedan entorpecer la obtención de resultados de acuerdo a la misión de la entidad</v>
      </c>
      <c r="AS114" s="722">
        <v>0</v>
      </c>
      <c r="AT114" s="491">
        <v>0</v>
      </c>
      <c r="AU114" s="709">
        <v>0</v>
      </c>
      <c r="AV114" s="690" t="e">
        <f t="shared" si="165"/>
        <v>#DIV/0!</v>
      </c>
      <c r="AW114" s="690" t="e">
        <f t="shared" si="166"/>
        <v>#DIV/0!</v>
      </c>
      <c r="AX114" s="690">
        <f t="shared" si="167"/>
        <v>0</v>
      </c>
      <c r="AY114" s="690" t="e">
        <f t="shared" si="168"/>
        <v>#DIV/0!</v>
      </c>
      <c r="AZ114" s="524" t="s">
        <v>1343</v>
      </c>
      <c r="BA114" s="163">
        <v>0</v>
      </c>
      <c r="BB114" s="693" t="str">
        <f>+AN114</f>
        <v>Determinar y analizar el estado de la satisfacción laboral de los funcionarios, para identificar aspectos que puedan entorpecer la obtención de resultados de acuerdo a la misión de la entidad</v>
      </c>
      <c r="BC114" s="691">
        <v>0</v>
      </c>
      <c r="BD114" s="716">
        <v>0</v>
      </c>
      <c r="BE114" s="691">
        <v>0</v>
      </c>
      <c r="BF114" s="690" t="e">
        <f t="shared" si="169"/>
        <v>#DIV/0!</v>
      </c>
      <c r="BG114" s="690" t="e">
        <f t="shared" si="170"/>
        <v>#DIV/0!</v>
      </c>
      <c r="BH114" s="690">
        <f t="shared" si="171"/>
        <v>0</v>
      </c>
      <c r="BI114" s="690" t="e">
        <f t="shared" si="172"/>
        <v>#DIV/0!</v>
      </c>
      <c r="BJ114" s="512" t="s">
        <v>1388</v>
      </c>
      <c r="BK114" s="163">
        <v>1</v>
      </c>
      <c r="BL114" s="693" t="str">
        <f>+AN114</f>
        <v>Determinar y analizar el estado de la satisfacción laboral de los funcionarios, para identificar aspectos que puedan entorpecer la obtención de resultados de acuerdo a la misión de la entidad</v>
      </c>
      <c r="BM114" s="691">
        <f>+AO114</f>
        <v>0</v>
      </c>
      <c r="BN114" s="695"/>
      <c r="BO114" s="695"/>
      <c r="BP114" s="690">
        <f t="shared" si="173"/>
        <v>0</v>
      </c>
      <c r="BQ114" s="690" t="e">
        <f t="shared" si="174"/>
        <v>#DIV/0!</v>
      </c>
      <c r="BR114" s="690">
        <f t="shared" si="175"/>
        <v>0</v>
      </c>
      <c r="BS114" s="690" t="e">
        <f t="shared" si="176"/>
        <v>#DIV/0!</v>
      </c>
      <c r="BT114" s="690"/>
      <c r="BU114" s="710">
        <v>0</v>
      </c>
      <c r="BV114" s="693" t="str">
        <f>+AN114</f>
        <v>Determinar y analizar el estado de la satisfacción laboral de los funcionarios, para identificar aspectos que puedan entorpecer la obtención de resultados de acuerdo a la misión de la entidad</v>
      </c>
      <c r="BW114" s="691">
        <v>0</v>
      </c>
      <c r="BX114" s="695"/>
      <c r="BY114" s="695"/>
      <c r="BZ114" s="698" t="e">
        <f t="shared" si="177"/>
        <v>#DIV/0!</v>
      </c>
      <c r="CA114" s="698" t="e">
        <f t="shared" si="178"/>
        <v>#DIV/0!</v>
      </c>
      <c r="CB114" s="698">
        <f t="shared" si="179"/>
        <v>0</v>
      </c>
      <c r="CC114" s="698" t="e">
        <f t="shared" si="180"/>
        <v>#DIV/0!</v>
      </c>
      <c r="CD114" s="698"/>
      <c r="CE114" s="697" t="str">
        <f t="shared" si="156"/>
        <v>No Prog ni Ejec</v>
      </c>
      <c r="CF114" s="697" t="str">
        <f t="shared" si="157"/>
        <v>No Prog ni Ejec</v>
      </c>
      <c r="CG114" s="697" t="str">
        <f t="shared" si="158"/>
        <v>No Prog ni Ejec</v>
      </c>
      <c r="CH114" s="697" t="str">
        <f t="shared" si="159"/>
        <v>No Prog ni Ejec</v>
      </c>
      <c r="CI114" s="697">
        <f t="shared" si="160"/>
        <v>0</v>
      </c>
      <c r="CJ114" s="697" t="str">
        <f t="shared" si="161"/>
        <v>No Prog ni Ejec</v>
      </c>
      <c r="CK114" s="697" t="str">
        <f t="shared" si="162"/>
        <v>No Prog ni Ejec</v>
      </c>
      <c r="CL114" s="786" t="str">
        <f t="shared" si="163"/>
        <v>No Prog ni Ejec</v>
      </c>
      <c r="CM114" s="136">
        <f t="shared" si="133"/>
        <v>0</v>
      </c>
      <c r="CX114" s="70">
        <v>7</v>
      </c>
      <c r="DB114" s="70">
        <v>11</v>
      </c>
    </row>
    <row r="115" spans="1:107" s="614" customFormat="1" ht="105" hidden="1" customHeight="1" x14ac:dyDescent="0.2">
      <c r="A115" s="828">
        <v>11700</v>
      </c>
      <c r="B115" s="689" t="s">
        <v>14</v>
      </c>
      <c r="C115" s="689" t="s">
        <v>335</v>
      </c>
      <c r="D115" s="693"/>
      <c r="E115" s="693"/>
      <c r="F115" s="693" t="s">
        <v>1023</v>
      </c>
      <c r="G115" s="693"/>
      <c r="H115" s="693" t="s">
        <v>1023</v>
      </c>
      <c r="I115" s="693"/>
      <c r="J115" s="693"/>
      <c r="K115" s="693"/>
      <c r="L115" s="693" t="s">
        <v>1023</v>
      </c>
      <c r="M115" s="693"/>
      <c r="N115" s="693"/>
      <c r="O115" s="693"/>
      <c r="P115" s="693"/>
      <c r="Q115" s="693" t="s">
        <v>204</v>
      </c>
      <c r="R115" s="693" t="s">
        <v>204</v>
      </c>
      <c r="S115" s="695" t="s">
        <v>238</v>
      </c>
      <c r="T115" s="693" t="s">
        <v>94</v>
      </c>
      <c r="U115" s="693" t="s">
        <v>204</v>
      </c>
      <c r="V115" s="693" t="s">
        <v>204</v>
      </c>
      <c r="W115" s="694" t="s">
        <v>808</v>
      </c>
      <c r="X115" s="689" t="s">
        <v>816</v>
      </c>
      <c r="Y115" s="649" t="s">
        <v>408</v>
      </c>
      <c r="Z115" s="640">
        <v>2</v>
      </c>
      <c r="AA115" s="1093" t="s">
        <v>798</v>
      </c>
      <c r="AB115" s="1083" t="s">
        <v>821</v>
      </c>
      <c r="AC115" s="1099">
        <v>51453000</v>
      </c>
      <c r="AD115" s="706">
        <v>1</v>
      </c>
      <c r="AE115" s="693" t="s">
        <v>16</v>
      </c>
      <c r="AF115" s="693" t="s">
        <v>21</v>
      </c>
      <c r="AG115" s="693" t="s">
        <v>204</v>
      </c>
      <c r="AH115" s="693" t="s">
        <v>638</v>
      </c>
      <c r="AI115" s="693" t="s">
        <v>77</v>
      </c>
      <c r="AJ115" s="693" t="s">
        <v>1298</v>
      </c>
      <c r="AK115" s="650" t="s">
        <v>831</v>
      </c>
      <c r="AL115" s="693" t="s">
        <v>43</v>
      </c>
      <c r="AM115" s="640">
        <v>2</v>
      </c>
      <c r="AN115" s="1083" t="str">
        <f>+AB115</f>
        <v>Contribuir al bienestar integral de los funcionarios, mediante la promoción de hábitos saludables, acciones de prevención de la salud, diagnostico temprano, tratamiento oportuno de los factores de riesgo</v>
      </c>
      <c r="AO115" s="1099">
        <v>51453000</v>
      </c>
      <c r="AP115" s="700" t="s">
        <v>46</v>
      </c>
      <c r="AQ115" s="640">
        <v>0</v>
      </c>
      <c r="AR115" s="1083" t="str">
        <f>+AN115</f>
        <v>Contribuir al bienestar integral de los funcionarios, mediante la promoción de hábitos saludables, acciones de prevención de la salud, diagnostico temprano, tratamiento oportuno de los factores de riesgo</v>
      </c>
      <c r="AS115" s="621">
        <v>0</v>
      </c>
      <c r="AT115" s="694">
        <v>0</v>
      </c>
      <c r="AU115" s="696">
        <v>0</v>
      </c>
      <c r="AV115" s="692" t="e">
        <f t="shared" si="165"/>
        <v>#DIV/0!</v>
      </c>
      <c r="AW115" s="692" t="e">
        <f t="shared" si="166"/>
        <v>#DIV/0!</v>
      </c>
      <c r="AX115" s="692">
        <f t="shared" si="167"/>
        <v>0</v>
      </c>
      <c r="AY115" s="692">
        <f t="shared" si="168"/>
        <v>0</v>
      </c>
      <c r="AZ115" s="642" t="s">
        <v>1343</v>
      </c>
      <c r="BA115" s="651">
        <v>1</v>
      </c>
      <c r="BB115" s="1083" t="str">
        <f>+AN115</f>
        <v>Contribuir al bienestar integral de los funcionarios, mediante la promoción de hábitos saludables, acciones de prevención de la salud, diagnostico temprano, tratamiento oportuno de los factores de riesgo</v>
      </c>
      <c r="BC115" s="1095">
        <f>+AO115/2</f>
        <v>25726500</v>
      </c>
      <c r="BD115" s="608">
        <v>0</v>
      </c>
      <c r="BE115" s="696">
        <v>0</v>
      </c>
      <c r="BF115" s="692">
        <f t="shared" si="169"/>
        <v>0</v>
      </c>
      <c r="BG115" s="692">
        <f t="shared" si="170"/>
        <v>0</v>
      </c>
      <c r="BH115" s="692">
        <f t="shared" si="171"/>
        <v>0</v>
      </c>
      <c r="BI115" s="692">
        <f t="shared" si="172"/>
        <v>0</v>
      </c>
      <c r="BJ115" s="860" t="s">
        <v>1665</v>
      </c>
      <c r="BK115" s="651">
        <v>0</v>
      </c>
      <c r="BL115" s="1083" t="str">
        <f>+AN115</f>
        <v>Contribuir al bienestar integral de los funcionarios, mediante la promoción de hábitos saludables, acciones de prevención de la salud, diagnostico temprano, tratamiento oportuno de los factores de riesgo</v>
      </c>
      <c r="BM115" s="696">
        <v>0</v>
      </c>
      <c r="BN115" s="694"/>
      <c r="BO115" s="694"/>
      <c r="BP115" s="692" t="e">
        <f t="shared" si="173"/>
        <v>#DIV/0!</v>
      </c>
      <c r="BQ115" s="692" t="e">
        <f t="shared" si="174"/>
        <v>#DIV/0!</v>
      </c>
      <c r="BR115" s="692">
        <f t="shared" si="175"/>
        <v>0</v>
      </c>
      <c r="BS115" s="692">
        <f t="shared" si="176"/>
        <v>0</v>
      </c>
      <c r="BT115" s="692"/>
      <c r="BU115" s="651">
        <v>1</v>
      </c>
      <c r="BV115" s="1083" t="str">
        <f>+AN115</f>
        <v>Contribuir al bienestar integral de los funcionarios, mediante la promoción de hábitos saludables, acciones de prevención de la salud, diagnostico temprano, tratamiento oportuno de los factores de riesgo</v>
      </c>
      <c r="BW115" s="1095">
        <f>+AO115/2</f>
        <v>25726500</v>
      </c>
      <c r="BX115" s="694"/>
      <c r="BY115" s="694"/>
      <c r="BZ115" s="707">
        <f t="shared" si="177"/>
        <v>0</v>
      </c>
      <c r="CA115" s="707">
        <f t="shared" si="178"/>
        <v>0</v>
      </c>
      <c r="CB115" s="707">
        <f t="shared" si="179"/>
        <v>0</v>
      </c>
      <c r="CC115" s="707">
        <f t="shared" si="180"/>
        <v>0</v>
      </c>
      <c r="CD115" s="707"/>
      <c r="CE115" s="699" t="str">
        <f t="shared" si="156"/>
        <v>No Prog ni Ejec</v>
      </c>
      <c r="CF115" s="699" t="str">
        <f t="shared" si="157"/>
        <v>No Prog ni Ejec</v>
      </c>
      <c r="CG115" s="699">
        <f t="shared" si="158"/>
        <v>0</v>
      </c>
      <c r="CH115" s="699">
        <f t="shared" si="159"/>
        <v>0</v>
      </c>
      <c r="CI115" s="699" t="str">
        <f t="shared" si="160"/>
        <v>No Prog ni Ejec</v>
      </c>
      <c r="CJ115" s="699" t="str">
        <f t="shared" si="161"/>
        <v>No Prog ni Ejec</v>
      </c>
      <c r="CK115" s="699">
        <f t="shared" si="162"/>
        <v>0</v>
      </c>
      <c r="CL115" s="879">
        <f t="shared" si="163"/>
        <v>0</v>
      </c>
      <c r="CM115" s="613">
        <f t="shared" si="133"/>
        <v>0</v>
      </c>
      <c r="CR115" s="70"/>
      <c r="CS115" s="70"/>
      <c r="CT115" s="70"/>
      <c r="CU115" s="70"/>
      <c r="CV115" s="70"/>
      <c r="CW115" s="70"/>
      <c r="CX115" s="70">
        <v>7</v>
      </c>
      <c r="CY115" s="70"/>
      <c r="CZ115" s="70"/>
      <c r="DA115" s="70"/>
      <c r="DB115" s="70">
        <v>11</v>
      </c>
      <c r="DC115" s="70"/>
    </row>
    <row r="116" spans="1:107" s="614" customFormat="1" ht="108.75" hidden="1" customHeight="1" x14ac:dyDescent="0.2">
      <c r="A116" s="828">
        <v>11700</v>
      </c>
      <c r="B116" s="689" t="s">
        <v>14</v>
      </c>
      <c r="C116" s="689" t="s">
        <v>335</v>
      </c>
      <c r="D116" s="693"/>
      <c r="E116" s="693"/>
      <c r="F116" s="693" t="s">
        <v>1023</v>
      </c>
      <c r="G116" s="693"/>
      <c r="H116" s="693" t="s">
        <v>1023</v>
      </c>
      <c r="I116" s="693"/>
      <c r="J116" s="693"/>
      <c r="K116" s="693"/>
      <c r="L116" s="693" t="s">
        <v>1023</v>
      </c>
      <c r="M116" s="693"/>
      <c r="N116" s="693"/>
      <c r="O116" s="693"/>
      <c r="P116" s="693"/>
      <c r="Q116" s="693" t="s">
        <v>204</v>
      </c>
      <c r="R116" s="693" t="s">
        <v>204</v>
      </c>
      <c r="S116" s="695" t="s">
        <v>238</v>
      </c>
      <c r="T116" s="693" t="s">
        <v>94</v>
      </c>
      <c r="U116" s="693" t="s">
        <v>204</v>
      </c>
      <c r="V116" s="693" t="s">
        <v>204</v>
      </c>
      <c r="W116" s="694" t="s">
        <v>1100</v>
      </c>
      <c r="X116" s="689" t="s">
        <v>817</v>
      </c>
      <c r="Y116" s="649" t="s">
        <v>408</v>
      </c>
      <c r="Z116" s="640">
        <v>2</v>
      </c>
      <c r="AA116" s="1093"/>
      <c r="AB116" s="1083"/>
      <c r="AC116" s="1099"/>
      <c r="AD116" s="964">
        <v>1</v>
      </c>
      <c r="AE116" s="693" t="s">
        <v>16</v>
      </c>
      <c r="AF116" s="693" t="s">
        <v>21</v>
      </c>
      <c r="AG116" s="693" t="s">
        <v>204</v>
      </c>
      <c r="AH116" s="693" t="s">
        <v>638</v>
      </c>
      <c r="AI116" s="693" t="s">
        <v>77</v>
      </c>
      <c r="AJ116" s="693" t="s">
        <v>1298</v>
      </c>
      <c r="AK116" s="650" t="s">
        <v>831</v>
      </c>
      <c r="AL116" s="693" t="s">
        <v>43</v>
      </c>
      <c r="AM116" s="640">
        <v>2</v>
      </c>
      <c r="AN116" s="1083"/>
      <c r="AO116" s="1099"/>
      <c r="AP116" s="700" t="s">
        <v>46</v>
      </c>
      <c r="AQ116" s="640">
        <v>0</v>
      </c>
      <c r="AR116" s="1083"/>
      <c r="AS116" s="621">
        <v>0</v>
      </c>
      <c r="AT116" s="694">
        <v>0</v>
      </c>
      <c r="AU116" s="696">
        <v>0</v>
      </c>
      <c r="AV116" s="692" t="e">
        <f t="shared" si="165"/>
        <v>#DIV/0!</v>
      </c>
      <c r="AW116" s="692" t="e">
        <f t="shared" si="166"/>
        <v>#DIV/0!</v>
      </c>
      <c r="AX116" s="692">
        <f t="shared" si="167"/>
        <v>0</v>
      </c>
      <c r="AY116" s="692">
        <f>+(AU116/AO115)</f>
        <v>0</v>
      </c>
      <c r="AZ116" s="642" t="s">
        <v>1343</v>
      </c>
      <c r="BA116" s="651">
        <v>1</v>
      </c>
      <c r="BB116" s="1083"/>
      <c r="BC116" s="1095"/>
      <c r="BD116" s="608">
        <v>0</v>
      </c>
      <c r="BE116" s="696">
        <v>0</v>
      </c>
      <c r="BF116" s="692">
        <f t="shared" si="169"/>
        <v>0</v>
      </c>
      <c r="BG116" s="692" t="e">
        <f t="shared" si="170"/>
        <v>#DIV/0!</v>
      </c>
      <c r="BH116" s="692">
        <f t="shared" si="171"/>
        <v>0</v>
      </c>
      <c r="BI116" s="692">
        <f>+(BE116+AU116)/AO115</f>
        <v>0</v>
      </c>
      <c r="BJ116" s="860" t="s">
        <v>1665</v>
      </c>
      <c r="BK116" s="651">
        <v>0</v>
      </c>
      <c r="BL116" s="1083"/>
      <c r="BM116" s="696">
        <v>0</v>
      </c>
      <c r="BN116" s="694"/>
      <c r="BO116" s="694"/>
      <c r="BP116" s="692" t="e">
        <f t="shared" si="173"/>
        <v>#DIV/0!</v>
      </c>
      <c r="BQ116" s="692" t="e">
        <f t="shared" si="174"/>
        <v>#DIV/0!</v>
      </c>
      <c r="BR116" s="692">
        <f t="shared" si="175"/>
        <v>0</v>
      </c>
      <c r="BS116" s="692">
        <f>+(BE116+AU116+BO116)/AO115</f>
        <v>0</v>
      </c>
      <c r="BT116" s="692"/>
      <c r="BU116" s="651">
        <v>1</v>
      </c>
      <c r="BV116" s="1083"/>
      <c r="BW116" s="1095"/>
      <c r="BX116" s="694"/>
      <c r="BY116" s="694"/>
      <c r="BZ116" s="707">
        <f t="shared" si="177"/>
        <v>0</v>
      </c>
      <c r="CA116" s="707" t="e">
        <f t="shared" si="178"/>
        <v>#DIV/0!</v>
      </c>
      <c r="CB116" s="707">
        <f t="shared" si="179"/>
        <v>0</v>
      </c>
      <c r="CC116" s="707">
        <f>+(BE116+AU116+BO116+BY116)/AO115</f>
        <v>0</v>
      </c>
      <c r="CD116" s="707"/>
      <c r="CE116" s="699" t="str">
        <f t="shared" si="156"/>
        <v>No Prog ni Ejec</v>
      </c>
      <c r="CF116" s="699" t="str">
        <f t="shared" si="157"/>
        <v>No Prog ni Ejec</v>
      </c>
      <c r="CG116" s="699">
        <f t="shared" si="158"/>
        <v>0</v>
      </c>
      <c r="CH116" s="699" t="str">
        <f t="shared" si="159"/>
        <v>No Prog ni Ejec</v>
      </c>
      <c r="CI116" s="699" t="str">
        <f t="shared" si="160"/>
        <v>No Prog ni Ejec</v>
      </c>
      <c r="CJ116" s="699" t="str">
        <f t="shared" si="161"/>
        <v>No Prog ni Ejec</v>
      </c>
      <c r="CK116" s="699">
        <f t="shared" si="162"/>
        <v>0</v>
      </c>
      <c r="CL116" s="879" t="str">
        <f t="shared" si="163"/>
        <v>No Prog ni Ejec</v>
      </c>
      <c r="CM116" s="613">
        <f t="shared" si="133"/>
        <v>0</v>
      </c>
      <c r="CR116" s="70"/>
      <c r="CS116" s="70"/>
      <c r="CT116" s="70"/>
      <c r="CU116" s="70"/>
      <c r="CV116" s="70"/>
      <c r="CW116" s="70"/>
      <c r="CX116" s="70">
        <v>7</v>
      </c>
      <c r="CY116" s="70"/>
      <c r="CZ116" s="70"/>
      <c r="DA116" s="70"/>
      <c r="DB116" s="70">
        <v>11</v>
      </c>
      <c r="DC116" s="70"/>
    </row>
    <row r="117" spans="1:107" s="614" customFormat="1" ht="89.25" hidden="1" x14ac:dyDescent="0.2">
      <c r="A117" s="828">
        <v>11700</v>
      </c>
      <c r="B117" s="689" t="s">
        <v>14</v>
      </c>
      <c r="C117" s="689" t="s">
        <v>335</v>
      </c>
      <c r="D117" s="693"/>
      <c r="E117" s="693"/>
      <c r="F117" s="693" t="s">
        <v>1023</v>
      </c>
      <c r="G117" s="693"/>
      <c r="H117" s="693" t="s">
        <v>1023</v>
      </c>
      <c r="I117" s="693"/>
      <c r="J117" s="693"/>
      <c r="K117" s="693"/>
      <c r="L117" s="693" t="s">
        <v>1023</v>
      </c>
      <c r="M117" s="693"/>
      <c r="N117" s="693"/>
      <c r="O117" s="693"/>
      <c r="P117" s="693"/>
      <c r="Q117" s="693" t="s">
        <v>204</v>
      </c>
      <c r="R117" s="693" t="s">
        <v>204</v>
      </c>
      <c r="S117" s="695" t="s">
        <v>238</v>
      </c>
      <c r="T117" s="693" t="s">
        <v>94</v>
      </c>
      <c r="U117" s="693" t="s">
        <v>204</v>
      </c>
      <c r="V117" s="693" t="s">
        <v>204</v>
      </c>
      <c r="W117" s="694" t="s">
        <v>1101</v>
      </c>
      <c r="X117" s="689" t="s">
        <v>819</v>
      </c>
      <c r="Y117" s="649" t="s">
        <v>408</v>
      </c>
      <c r="Z117" s="640">
        <v>2</v>
      </c>
      <c r="AA117" s="1093"/>
      <c r="AB117" s="1083"/>
      <c r="AC117" s="1099"/>
      <c r="AD117" s="964"/>
      <c r="AE117" s="693" t="s">
        <v>16</v>
      </c>
      <c r="AF117" s="693" t="s">
        <v>21</v>
      </c>
      <c r="AG117" s="693" t="s">
        <v>204</v>
      </c>
      <c r="AH117" s="693" t="s">
        <v>638</v>
      </c>
      <c r="AI117" s="693" t="s">
        <v>77</v>
      </c>
      <c r="AJ117" s="693" t="s">
        <v>1298</v>
      </c>
      <c r="AK117" s="650" t="s">
        <v>831</v>
      </c>
      <c r="AL117" s="693" t="s">
        <v>43</v>
      </c>
      <c r="AM117" s="640">
        <v>2</v>
      </c>
      <c r="AN117" s="1083"/>
      <c r="AO117" s="1099"/>
      <c r="AP117" s="700" t="s">
        <v>46</v>
      </c>
      <c r="AQ117" s="640">
        <v>0</v>
      </c>
      <c r="AR117" s="1083"/>
      <c r="AS117" s="621">
        <v>0</v>
      </c>
      <c r="AT117" s="694">
        <v>0</v>
      </c>
      <c r="AU117" s="696">
        <v>0</v>
      </c>
      <c r="AV117" s="692" t="e">
        <f t="shared" si="165"/>
        <v>#DIV/0!</v>
      </c>
      <c r="AW117" s="692" t="e">
        <f t="shared" si="166"/>
        <v>#DIV/0!</v>
      </c>
      <c r="AX117" s="692">
        <f t="shared" si="167"/>
        <v>0</v>
      </c>
      <c r="AY117" s="692">
        <f>+(AU117/AO115)</f>
        <v>0</v>
      </c>
      <c r="AZ117" s="642" t="s">
        <v>1343</v>
      </c>
      <c r="BA117" s="651">
        <v>1</v>
      </c>
      <c r="BB117" s="1083"/>
      <c r="BC117" s="1095"/>
      <c r="BD117" s="608">
        <v>0</v>
      </c>
      <c r="BE117" s="696">
        <v>0</v>
      </c>
      <c r="BF117" s="692">
        <f t="shared" si="169"/>
        <v>0</v>
      </c>
      <c r="BG117" s="692" t="e">
        <f t="shared" si="170"/>
        <v>#DIV/0!</v>
      </c>
      <c r="BH117" s="692">
        <f t="shared" si="171"/>
        <v>0</v>
      </c>
      <c r="BI117" s="692">
        <f>+(BE117+AU117)/AO115</f>
        <v>0</v>
      </c>
      <c r="BJ117" s="860" t="s">
        <v>1665</v>
      </c>
      <c r="BK117" s="651">
        <v>0</v>
      </c>
      <c r="BL117" s="1083"/>
      <c r="BM117" s="696">
        <v>0</v>
      </c>
      <c r="BN117" s="694"/>
      <c r="BO117" s="694"/>
      <c r="BP117" s="692" t="e">
        <f t="shared" si="173"/>
        <v>#DIV/0!</v>
      </c>
      <c r="BQ117" s="692" t="e">
        <f t="shared" si="174"/>
        <v>#DIV/0!</v>
      </c>
      <c r="BR117" s="692">
        <f t="shared" si="175"/>
        <v>0</v>
      </c>
      <c r="BS117" s="692">
        <f>+(BE117+AU117+BO117)/AO115</f>
        <v>0</v>
      </c>
      <c r="BT117" s="692"/>
      <c r="BU117" s="651">
        <v>1</v>
      </c>
      <c r="BV117" s="1083"/>
      <c r="BW117" s="1095"/>
      <c r="BX117" s="694"/>
      <c r="BY117" s="694"/>
      <c r="BZ117" s="707">
        <f t="shared" si="177"/>
        <v>0</v>
      </c>
      <c r="CA117" s="707" t="e">
        <f t="shared" si="178"/>
        <v>#DIV/0!</v>
      </c>
      <c r="CB117" s="707">
        <f t="shared" si="179"/>
        <v>0</v>
      </c>
      <c r="CC117" s="707">
        <f>+(BE117+AU117+BO117+BY117)/AO115</f>
        <v>0</v>
      </c>
      <c r="CD117" s="707"/>
      <c r="CE117" s="699" t="str">
        <f t="shared" si="156"/>
        <v>No Prog ni Ejec</v>
      </c>
      <c r="CF117" s="699" t="str">
        <f t="shared" si="157"/>
        <v>No Prog ni Ejec</v>
      </c>
      <c r="CG117" s="699">
        <f t="shared" si="158"/>
        <v>0</v>
      </c>
      <c r="CH117" s="699" t="str">
        <f t="shared" si="159"/>
        <v>No Prog ni Ejec</v>
      </c>
      <c r="CI117" s="699" t="str">
        <f t="shared" si="160"/>
        <v>No Prog ni Ejec</v>
      </c>
      <c r="CJ117" s="699" t="str">
        <f t="shared" si="161"/>
        <v>No Prog ni Ejec</v>
      </c>
      <c r="CK117" s="699">
        <f t="shared" si="162"/>
        <v>0</v>
      </c>
      <c r="CL117" s="879" t="str">
        <f t="shared" si="163"/>
        <v>No Prog ni Ejec</v>
      </c>
      <c r="CM117" s="613">
        <f t="shared" si="133"/>
        <v>0</v>
      </c>
      <c r="CR117" s="70"/>
      <c r="CS117" s="70"/>
      <c r="CT117" s="70"/>
      <c r="CU117" s="70"/>
      <c r="CV117" s="70"/>
      <c r="CW117" s="70"/>
      <c r="CX117" s="70">
        <v>7</v>
      </c>
      <c r="CY117" s="70"/>
      <c r="CZ117" s="70"/>
      <c r="DA117" s="70"/>
      <c r="DB117" s="70">
        <v>11</v>
      </c>
      <c r="DC117" s="70"/>
    </row>
    <row r="118" spans="1:107" s="70" customFormat="1" ht="104.25" hidden="1" customHeight="1" x14ac:dyDescent="0.2">
      <c r="A118" s="785">
        <v>11700</v>
      </c>
      <c r="B118" s="693" t="s">
        <v>14</v>
      </c>
      <c r="C118" s="724" t="s">
        <v>848</v>
      </c>
      <c r="D118" s="177"/>
      <c r="E118" s="177"/>
      <c r="F118" s="177"/>
      <c r="G118" s="177"/>
      <c r="H118" s="177"/>
      <c r="I118" s="177"/>
      <c r="J118" s="177" t="s">
        <v>1023</v>
      </c>
      <c r="K118" s="177"/>
      <c r="L118" s="177" t="s">
        <v>1023</v>
      </c>
      <c r="M118" s="177"/>
      <c r="N118" s="177"/>
      <c r="O118" s="177"/>
      <c r="P118" s="177"/>
      <c r="Q118" s="693" t="s">
        <v>204</v>
      </c>
      <c r="R118" s="693" t="s">
        <v>204</v>
      </c>
      <c r="S118" s="695" t="s">
        <v>238</v>
      </c>
      <c r="T118" s="693" t="s">
        <v>94</v>
      </c>
      <c r="U118" s="693" t="s">
        <v>204</v>
      </c>
      <c r="V118" s="693" t="s">
        <v>204</v>
      </c>
      <c r="W118" s="695" t="s">
        <v>840</v>
      </c>
      <c r="X118" s="724" t="s">
        <v>852</v>
      </c>
      <c r="Y118" s="165" t="s">
        <v>391</v>
      </c>
      <c r="Z118" s="73">
        <v>1</v>
      </c>
      <c r="AA118" s="695" t="s">
        <v>832</v>
      </c>
      <c r="AB118" s="724" t="s">
        <v>855</v>
      </c>
      <c r="AC118" s="169">
        <v>0</v>
      </c>
      <c r="AD118" s="706">
        <v>1</v>
      </c>
      <c r="AE118" s="693" t="s">
        <v>16</v>
      </c>
      <c r="AF118" s="693" t="s">
        <v>21</v>
      </c>
      <c r="AG118" s="693" t="s">
        <v>204</v>
      </c>
      <c r="AH118" s="693" t="s">
        <v>638</v>
      </c>
      <c r="AI118" s="693" t="s">
        <v>77</v>
      </c>
      <c r="AJ118" s="693" t="s">
        <v>1289</v>
      </c>
      <c r="AK118" s="693" t="s">
        <v>858</v>
      </c>
      <c r="AL118" s="693" t="s">
        <v>43</v>
      </c>
      <c r="AM118" s="73">
        <v>1</v>
      </c>
      <c r="AN118" s="693" t="str">
        <f t="shared" ref="AN118:AN123" si="181">+AB118</f>
        <v>Actualizar el Manual de funciones de la ADRES</v>
      </c>
      <c r="AO118" s="703">
        <f t="shared" ref="AO118:AO123" si="182">+AC118</f>
        <v>0</v>
      </c>
      <c r="AP118" s="700" t="s">
        <v>48</v>
      </c>
      <c r="AQ118" s="67">
        <v>0</v>
      </c>
      <c r="AR118" s="693" t="str">
        <f t="shared" ref="AR118:AR123" si="183">+AN118</f>
        <v>Actualizar el Manual de funciones de la ADRES</v>
      </c>
      <c r="AS118" s="722">
        <v>0</v>
      </c>
      <c r="AT118" s="491">
        <v>0</v>
      </c>
      <c r="AU118" s="709">
        <v>0</v>
      </c>
      <c r="AV118" s="690" t="e">
        <f t="shared" ref="AV118:AV123" si="184">+(AT118/AQ118)</f>
        <v>#DIV/0!</v>
      </c>
      <c r="AW118" s="690" t="e">
        <f t="shared" ref="AW118:AW123" si="185">+(AU118/AS118)</f>
        <v>#DIV/0!</v>
      </c>
      <c r="AX118" s="690">
        <f t="shared" ref="AX118:AX123" si="186">+(AT118/AM118)</f>
        <v>0</v>
      </c>
      <c r="AY118" s="690" t="e">
        <f t="shared" ref="AY118:AY123" si="187">+(AU118/AO118)</f>
        <v>#DIV/0!</v>
      </c>
      <c r="AZ118" s="524" t="s">
        <v>1343</v>
      </c>
      <c r="BA118" s="67">
        <v>0</v>
      </c>
      <c r="BB118" s="693" t="str">
        <f t="shared" ref="BB118:BB123" si="188">+AN118</f>
        <v>Actualizar el Manual de funciones de la ADRES</v>
      </c>
      <c r="BC118" s="691">
        <v>0</v>
      </c>
      <c r="BD118" s="716">
        <v>0</v>
      </c>
      <c r="BE118" s="691">
        <v>0</v>
      </c>
      <c r="BF118" s="690" t="e">
        <f t="shared" ref="BF118:BF123" si="189">+(BD118/BA118)</f>
        <v>#DIV/0!</v>
      </c>
      <c r="BG118" s="690" t="e">
        <f t="shared" ref="BG118:BG123" si="190">+(BE118/BC118)</f>
        <v>#DIV/0!</v>
      </c>
      <c r="BH118" s="690">
        <f t="shared" ref="BH118:BH123" si="191">+(BD118+AT118)/AM118</f>
        <v>0</v>
      </c>
      <c r="BI118" s="690" t="e">
        <f t="shared" ref="BI118:BI123" si="192">+(BE118+AU118)/AO118</f>
        <v>#DIV/0!</v>
      </c>
      <c r="BJ118" s="512" t="s">
        <v>1388</v>
      </c>
      <c r="BK118" s="73">
        <v>1</v>
      </c>
      <c r="BL118" s="693" t="str">
        <f t="shared" ref="BL118:BL123" si="193">+AN118</f>
        <v>Actualizar el Manual de funciones de la ADRES</v>
      </c>
      <c r="BM118" s="691">
        <v>0</v>
      </c>
      <c r="BN118" s="695"/>
      <c r="BO118" s="695"/>
      <c r="BP118" s="690">
        <f t="shared" ref="BP118:BP123" si="194">+(BN118/BK118)</f>
        <v>0</v>
      </c>
      <c r="BQ118" s="690" t="e">
        <f t="shared" ref="BQ118:BQ123" si="195">+(BO118/BM118)</f>
        <v>#DIV/0!</v>
      </c>
      <c r="BR118" s="690">
        <f t="shared" ref="BR118:BR123" si="196">+(BD118+AT118+BN118)/AM118</f>
        <v>0</v>
      </c>
      <c r="BS118" s="690" t="e">
        <f t="shared" ref="BS118:BS123" si="197">+(BE118+AU118+BO118)/AO118</f>
        <v>#DIV/0!</v>
      </c>
      <c r="BT118" s="690"/>
      <c r="BU118" s="67">
        <v>0</v>
      </c>
      <c r="BV118" s="693" t="str">
        <f t="shared" ref="BV118:BV123" si="198">+AN118</f>
        <v>Actualizar el Manual de funciones de la ADRES</v>
      </c>
      <c r="BW118" s="691">
        <v>0</v>
      </c>
      <c r="BX118" s="695"/>
      <c r="BY118" s="695"/>
      <c r="BZ118" s="698" t="e">
        <f t="shared" ref="BZ118:BZ123" si="199">+(BX118/BU118)</f>
        <v>#DIV/0!</v>
      </c>
      <c r="CA118" s="698" t="e">
        <f t="shared" ref="CA118:CA123" si="200">+(BY118/BW118)</f>
        <v>#DIV/0!</v>
      </c>
      <c r="CB118" s="698">
        <f t="shared" ref="CB118:CB123" si="201">+(BD118+AT118+BN118+BX118)/AM118</f>
        <v>0</v>
      </c>
      <c r="CC118" s="698" t="e">
        <f t="shared" ref="CC118:CC123" si="202">+(BE118+AU118+BO118+BY118)/AO118</f>
        <v>#DIV/0!</v>
      </c>
      <c r="CD118" s="698"/>
      <c r="CE118" s="697" t="str">
        <f t="shared" ref="CE118:CE123" si="203">IF(AND(AQ118=0,AT118=0),"No Prog ni Ejec",IF(AQ118=0,CONCATENATE("No Prog, Ejec=  ",AT118),AT118/AQ118))</f>
        <v>No Prog ni Ejec</v>
      </c>
      <c r="CF118" s="697" t="str">
        <f t="shared" ref="CF118:CF123" si="204">IF(AND(AS118=0,AU118=0),"No Prog ni Ejec",IF(AS118=0,CONCATENATE("No Prog, Ejec=  ",AU118),AU118/AS118))</f>
        <v>No Prog ni Ejec</v>
      </c>
      <c r="CG118" s="697" t="str">
        <f t="shared" ref="CG118:CG123" si="205">IF(AND(BA118=0,BD118=0),"No Prog ni Ejec",IF(BA118=0,CONCATENATE("No Prog, Ejec=  ",BD118),BD118/BA118))</f>
        <v>No Prog ni Ejec</v>
      </c>
      <c r="CH118" s="697" t="str">
        <f t="shared" ref="CH118:CH123" si="206">IF(AND(BC118=0,BE118=0),"No Prog ni Ejec",IF(BC118=0,CONCATENATE("No Prog, Ejec=  ",BE118),BE118/BC118))</f>
        <v>No Prog ni Ejec</v>
      </c>
      <c r="CI118" s="697">
        <f t="shared" ref="CI118:CI123" si="207">IF(AND(BK118=0,BN118=0),"No Prog ni Ejec",IF(BK118=0,CONCATENATE("No Prog, Ejec=  ",BN118),BN118/BK118))</f>
        <v>0</v>
      </c>
      <c r="CJ118" s="697" t="str">
        <f t="shared" ref="CJ118:CJ123" si="208">IF(AND(BM118=0,BO118=0),"No Prog ni Ejec",IF(BM118=0,CONCATENATE("No Prog, Ejec=  ",BO118),BO118/BM118))</f>
        <v>No Prog ni Ejec</v>
      </c>
      <c r="CK118" s="697" t="str">
        <f t="shared" ref="CK118:CK123" si="209">IF(AND(BU118=0,BX118=0),"No Prog ni Ejec",IF(BU118=0,CONCATENATE("No Prog, Ejec=  ",BX118),BX118/BU118))</f>
        <v>No Prog ni Ejec</v>
      </c>
      <c r="CL118" s="786" t="str">
        <f t="shared" ref="CL118:CL123" si="210">IF(AND(BW118=0,BY118=0),"No Prog ni Ejec",IF(BW118=0,CONCATENATE("No Prog, Ejec=  ",BY118),BY118/BW118))</f>
        <v>No Prog ni Ejec</v>
      </c>
      <c r="CM118" s="136">
        <f t="shared" si="133"/>
        <v>0</v>
      </c>
      <c r="CV118" s="125">
        <v>5</v>
      </c>
      <c r="DB118" s="70">
        <v>11</v>
      </c>
    </row>
    <row r="119" spans="1:107" s="70" customFormat="1" ht="99.75" hidden="1" customHeight="1" x14ac:dyDescent="0.2">
      <c r="A119" s="785">
        <v>11700</v>
      </c>
      <c r="B119" s="693" t="s">
        <v>14</v>
      </c>
      <c r="C119" s="724" t="s">
        <v>848</v>
      </c>
      <c r="D119" s="177"/>
      <c r="E119" s="177"/>
      <c r="F119" s="177"/>
      <c r="G119" s="177"/>
      <c r="H119" s="177"/>
      <c r="I119" s="177"/>
      <c r="J119" s="177" t="s">
        <v>1023</v>
      </c>
      <c r="K119" s="177"/>
      <c r="L119" s="177" t="s">
        <v>1023</v>
      </c>
      <c r="M119" s="177"/>
      <c r="N119" s="177"/>
      <c r="O119" s="177"/>
      <c r="P119" s="177"/>
      <c r="Q119" s="693" t="s">
        <v>204</v>
      </c>
      <c r="R119" s="693" t="s">
        <v>204</v>
      </c>
      <c r="S119" s="695" t="s">
        <v>238</v>
      </c>
      <c r="T119" s="693" t="s">
        <v>94</v>
      </c>
      <c r="U119" s="693" t="s">
        <v>204</v>
      </c>
      <c r="V119" s="693" t="s">
        <v>204</v>
      </c>
      <c r="W119" s="695" t="s">
        <v>841</v>
      </c>
      <c r="X119" s="724" t="s">
        <v>853</v>
      </c>
      <c r="Y119" s="165" t="s">
        <v>391</v>
      </c>
      <c r="Z119" s="73">
        <v>1</v>
      </c>
      <c r="AA119" s="695" t="s">
        <v>833</v>
      </c>
      <c r="AB119" s="724" t="s">
        <v>856</v>
      </c>
      <c r="AC119" s="169">
        <v>0</v>
      </c>
      <c r="AD119" s="706">
        <v>1</v>
      </c>
      <c r="AE119" s="693" t="s">
        <v>16</v>
      </c>
      <c r="AF119" s="693" t="s">
        <v>21</v>
      </c>
      <c r="AG119" s="693" t="s">
        <v>204</v>
      </c>
      <c r="AH119" s="693" t="s">
        <v>638</v>
      </c>
      <c r="AI119" s="693" t="s">
        <v>77</v>
      </c>
      <c r="AJ119" s="693" t="s">
        <v>204</v>
      </c>
      <c r="AK119" s="693" t="s">
        <v>859</v>
      </c>
      <c r="AL119" s="693" t="s">
        <v>43</v>
      </c>
      <c r="AM119" s="73">
        <v>1</v>
      </c>
      <c r="AN119" s="693" t="str">
        <f t="shared" si="181"/>
        <v xml:space="preserve">Solicitar a la CNSC, la apertura de la OPEC </v>
      </c>
      <c r="AO119" s="703">
        <f t="shared" si="182"/>
        <v>0</v>
      </c>
      <c r="AP119" s="700" t="s">
        <v>48</v>
      </c>
      <c r="AQ119" s="67">
        <v>0</v>
      </c>
      <c r="AR119" s="693" t="str">
        <f t="shared" si="183"/>
        <v xml:space="preserve">Solicitar a la CNSC, la apertura de la OPEC </v>
      </c>
      <c r="AS119" s="722">
        <v>0</v>
      </c>
      <c r="AT119" s="491">
        <v>0</v>
      </c>
      <c r="AU119" s="709">
        <v>0</v>
      </c>
      <c r="AV119" s="690" t="e">
        <f t="shared" si="184"/>
        <v>#DIV/0!</v>
      </c>
      <c r="AW119" s="690" t="e">
        <f t="shared" si="185"/>
        <v>#DIV/0!</v>
      </c>
      <c r="AX119" s="690">
        <f t="shared" si="186"/>
        <v>0</v>
      </c>
      <c r="AY119" s="690" t="e">
        <f t="shared" si="187"/>
        <v>#DIV/0!</v>
      </c>
      <c r="AZ119" s="524" t="s">
        <v>1343</v>
      </c>
      <c r="BA119" s="67">
        <v>0</v>
      </c>
      <c r="BB119" s="693" t="str">
        <f t="shared" si="188"/>
        <v xml:space="preserve">Solicitar a la CNSC, la apertura de la OPEC </v>
      </c>
      <c r="BC119" s="691">
        <v>0</v>
      </c>
      <c r="BD119" s="716">
        <v>0</v>
      </c>
      <c r="BE119" s="691">
        <v>0</v>
      </c>
      <c r="BF119" s="690" t="e">
        <f t="shared" si="189"/>
        <v>#DIV/0!</v>
      </c>
      <c r="BG119" s="690" t="e">
        <f t="shared" si="190"/>
        <v>#DIV/0!</v>
      </c>
      <c r="BH119" s="690">
        <f t="shared" si="191"/>
        <v>0</v>
      </c>
      <c r="BI119" s="690" t="e">
        <f t="shared" si="192"/>
        <v>#DIV/0!</v>
      </c>
      <c r="BJ119" s="512" t="s">
        <v>1388</v>
      </c>
      <c r="BK119" s="73">
        <v>1</v>
      </c>
      <c r="BL119" s="693" t="str">
        <f t="shared" si="193"/>
        <v xml:space="preserve">Solicitar a la CNSC, la apertura de la OPEC </v>
      </c>
      <c r="BM119" s="691">
        <v>0</v>
      </c>
      <c r="BN119" s="695"/>
      <c r="BO119" s="695"/>
      <c r="BP119" s="690">
        <f t="shared" si="194"/>
        <v>0</v>
      </c>
      <c r="BQ119" s="690" t="e">
        <f t="shared" si="195"/>
        <v>#DIV/0!</v>
      </c>
      <c r="BR119" s="690">
        <f t="shared" si="196"/>
        <v>0</v>
      </c>
      <c r="BS119" s="690" t="e">
        <f t="shared" si="197"/>
        <v>#DIV/0!</v>
      </c>
      <c r="BT119" s="690"/>
      <c r="BU119" s="67">
        <v>0</v>
      </c>
      <c r="BV119" s="693" t="str">
        <f t="shared" si="198"/>
        <v xml:space="preserve">Solicitar a la CNSC, la apertura de la OPEC </v>
      </c>
      <c r="BW119" s="691">
        <v>0</v>
      </c>
      <c r="BX119" s="695"/>
      <c r="BY119" s="695"/>
      <c r="BZ119" s="698" t="e">
        <f t="shared" si="199"/>
        <v>#DIV/0!</v>
      </c>
      <c r="CA119" s="698" t="e">
        <f t="shared" si="200"/>
        <v>#DIV/0!</v>
      </c>
      <c r="CB119" s="698">
        <f t="shared" si="201"/>
        <v>0</v>
      </c>
      <c r="CC119" s="698" t="e">
        <f t="shared" si="202"/>
        <v>#DIV/0!</v>
      </c>
      <c r="CD119" s="698"/>
      <c r="CE119" s="697" t="str">
        <f t="shared" si="203"/>
        <v>No Prog ni Ejec</v>
      </c>
      <c r="CF119" s="697" t="str">
        <f t="shared" si="204"/>
        <v>No Prog ni Ejec</v>
      </c>
      <c r="CG119" s="697" t="str">
        <f t="shared" si="205"/>
        <v>No Prog ni Ejec</v>
      </c>
      <c r="CH119" s="697" t="str">
        <f t="shared" si="206"/>
        <v>No Prog ni Ejec</v>
      </c>
      <c r="CI119" s="697">
        <f t="shared" si="207"/>
        <v>0</v>
      </c>
      <c r="CJ119" s="697" t="str">
        <f t="shared" si="208"/>
        <v>No Prog ni Ejec</v>
      </c>
      <c r="CK119" s="697" t="str">
        <f t="shared" si="209"/>
        <v>No Prog ni Ejec</v>
      </c>
      <c r="CL119" s="786" t="str">
        <f t="shared" si="210"/>
        <v>No Prog ni Ejec</v>
      </c>
      <c r="CM119" s="136">
        <f t="shared" si="133"/>
        <v>0</v>
      </c>
      <c r="CV119" s="125">
        <v>5</v>
      </c>
      <c r="DB119" s="70">
        <v>11</v>
      </c>
    </row>
    <row r="120" spans="1:107" s="70" customFormat="1" ht="104.25" hidden="1" customHeight="1" x14ac:dyDescent="0.2">
      <c r="A120" s="785">
        <v>11700</v>
      </c>
      <c r="B120" s="693" t="s">
        <v>14</v>
      </c>
      <c r="C120" s="724" t="s">
        <v>848</v>
      </c>
      <c r="D120" s="177"/>
      <c r="E120" s="177"/>
      <c r="F120" s="177"/>
      <c r="G120" s="177"/>
      <c r="H120" s="177"/>
      <c r="I120" s="177"/>
      <c r="J120" s="177" t="s">
        <v>1023</v>
      </c>
      <c r="K120" s="177"/>
      <c r="L120" s="177" t="s">
        <v>1023</v>
      </c>
      <c r="M120" s="177"/>
      <c r="N120" s="177"/>
      <c r="O120" s="177"/>
      <c r="P120" s="177"/>
      <c r="Q120" s="693" t="s">
        <v>204</v>
      </c>
      <c r="R120" s="693" t="s">
        <v>204</v>
      </c>
      <c r="S120" s="695" t="s">
        <v>238</v>
      </c>
      <c r="T120" s="693" t="s">
        <v>94</v>
      </c>
      <c r="U120" s="693" t="s">
        <v>204</v>
      </c>
      <c r="V120" s="693" t="s">
        <v>204</v>
      </c>
      <c r="W120" s="695" t="s">
        <v>842</v>
      </c>
      <c r="X120" s="724" t="s">
        <v>854</v>
      </c>
      <c r="Y120" s="165" t="s">
        <v>391</v>
      </c>
      <c r="Z120" s="73">
        <v>1</v>
      </c>
      <c r="AA120" s="695" t="s">
        <v>834</v>
      </c>
      <c r="AB120" s="724" t="s">
        <v>857</v>
      </c>
      <c r="AC120" s="169">
        <v>0</v>
      </c>
      <c r="AD120" s="706">
        <v>1</v>
      </c>
      <c r="AE120" s="693" t="s">
        <v>16</v>
      </c>
      <c r="AF120" s="693" t="s">
        <v>21</v>
      </c>
      <c r="AG120" s="693" t="s">
        <v>204</v>
      </c>
      <c r="AH120" s="693" t="s">
        <v>638</v>
      </c>
      <c r="AI120" s="693" t="s">
        <v>77</v>
      </c>
      <c r="AJ120" s="693" t="s">
        <v>204</v>
      </c>
      <c r="AK120" s="693" t="s">
        <v>860</v>
      </c>
      <c r="AL120" s="693" t="s">
        <v>43</v>
      </c>
      <c r="AM120" s="73">
        <v>1</v>
      </c>
      <c r="AN120" s="693" t="str">
        <f t="shared" si="181"/>
        <v>Actualizar la OPEC en el aplicativo SIMO</v>
      </c>
      <c r="AO120" s="703">
        <f t="shared" si="182"/>
        <v>0</v>
      </c>
      <c r="AP120" s="700" t="s">
        <v>48</v>
      </c>
      <c r="AQ120" s="67">
        <v>0</v>
      </c>
      <c r="AR120" s="693" t="str">
        <f t="shared" si="183"/>
        <v>Actualizar la OPEC en el aplicativo SIMO</v>
      </c>
      <c r="AS120" s="722">
        <v>0</v>
      </c>
      <c r="AT120" s="491">
        <v>0</v>
      </c>
      <c r="AU120" s="709">
        <v>0</v>
      </c>
      <c r="AV120" s="690" t="e">
        <f t="shared" si="184"/>
        <v>#DIV/0!</v>
      </c>
      <c r="AW120" s="690" t="e">
        <f t="shared" si="185"/>
        <v>#DIV/0!</v>
      </c>
      <c r="AX120" s="690">
        <f t="shared" si="186"/>
        <v>0</v>
      </c>
      <c r="AY120" s="690" t="e">
        <f t="shared" si="187"/>
        <v>#DIV/0!</v>
      </c>
      <c r="AZ120" s="524" t="s">
        <v>1343</v>
      </c>
      <c r="BA120" s="67">
        <v>0</v>
      </c>
      <c r="BB120" s="693" t="str">
        <f t="shared" si="188"/>
        <v>Actualizar la OPEC en el aplicativo SIMO</v>
      </c>
      <c r="BC120" s="691">
        <v>0</v>
      </c>
      <c r="BD120" s="716">
        <v>0</v>
      </c>
      <c r="BE120" s="691">
        <v>0</v>
      </c>
      <c r="BF120" s="690" t="e">
        <f t="shared" si="189"/>
        <v>#DIV/0!</v>
      </c>
      <c r="BG120" s="690" t="e">
        <f t="shared" si="190"/>
        <v>#DIV/0!</v>
      </c>
      <c r="BH120" s="690">
        <f t="shared" si="191"/>
        <v>0</v>
      </c>
      <c r="BI120" s="690" t="e">
        <f t="shared" si="192"/>
        <v>#DIV/0!</v>
      </c>
      <c r="BJ120" s="512" t="s">
        <v>1388</v>
      </c>
      <c r="BK120" s="73">
        <v>1</v>
      </c>
      <c r="BL120" s="693" t="str">
        <f t="shared" si="193"/>
        <v>Actualizar la OPEC en el aplicativo SIMO</v>
      </c>
      <c r="BM120" s="691">
        <v>0</v>
      </c>
      <c r="BN120" s="695"/>
      <c r="BO120" s="695"/>
      <c r="BP120" s="690">
        <f t="shared" si="194"/>
        <v>0</v>
      </c>
      <c r="BQ120" s="690" t="e">
        <f t="shared" si="195"/>
        <v>#DIV/0!</v>
      </c>
      <c r="BR120" s="690">
        <f t="shared" si="196"/>
        <v>0</v>
      </c>
      <c r="BS120" s="690" t="e">
        <f t="shared" si="197"/>
        <v>#DIV/0!</v>
      </c>
      <c r="BT120" s="690"/>
      <c r="BU120" s="67">
        <v>0</v>
      </c>
      <c r="BV120" s="693" t="str">
        <f t="shared" si="198"/>
        <v>Actualizar la OPEC en el aplicativo SIMO</v>
      </c>
      <c r="BW120" s="691">
        <v>0</v>
      </c>
      <c r="BX120" s="695"/>
      <c r="BY120" s="695"/>
      <c r="BZ120" s="698" t="e">
        <f t="shared" si="199"/>
        <v>#DIV/0!</v>
      </c>
      <c r="CA120" s="698" t="e">
        <f t="shared" si="200"/>
        <v>#DIV/0!</v>
      </c>
      <c r="CB120" s="698">
        <f t="shared" si="201"/>
        <v>0</v>
      </c>
      <c r="CC120" s="698" t="e">
        <f t="shared" si="202"/>
        <v>#DIV/0!</v>
      </c>
      <c r="CD120" s="698"/>
      <c r="CE120" s="697" t="str">
        <f t="shared" si="203"/>
        <v>No Prog ni Ejec</v>
      </c>
      <c r="CF120" s="697" t="str">
        <f t="shared" si="204"/>
        <v>No Prog ni Ejec</v>
      </c>
      <c r="CG120" s="697" t="str">
        <f t="shared" si="205"/>
        <v>No Prog ni Ejec</v>
      </c>
      <c r="CH120" s="697" t="str">
        <f t="shared" si="206"/>
        <v>No Prog ni Ejec</v>
      </c>
      <c r="CI120" s="697">
        <f t="shared" si="207"/>
        <v>0</v>
      </c>
      <c r="CJ120" s="697" t="str">
        <f t="shared" si="208"/>
        <v>No Prog ni Ejec</v>
      </c>
      <c r="CK120" s="697" t="str">
        <f t="shared" si="209"/>
        <v>No Prog ni Ejec</v>
      </c>
      <c r="CL120" s="786" t="str">
        <f t="shared" si="210"/>
        <v>No Prog ni Ejec</v>
      </c>
      <c r="CM120" s="136">
        <f t="shared" si="133"/>
        <v>0</v>
      </c>
      <c r="CV120" s="125">
        <v>5</v>
      </c>
      <c r="DB120" s="70">
        <v>11</v>
      </c>
    </row>
    <row r="121" spans="1:107" s="70" customFormat="1" ht="106.5" hidden="1" customHeight="1" x14ac:dyDescent="0.2">
      <c r="A121" s="785">
        <v>11700</v>
      </c>
      <c r="B121" s="693" t="s">
        <v>14</v>
      </c>
      <c r="C121" s="693" t="s">
        <v>330</v>
      </c>
      <c r="D121" s="129"/>
      <c r="E121" s="129" t="s">
        <v>1023</v>
      </c>
      <c r="F121" s="129" t="s">
        <v>1023</v>
      </c>
      <c r="G121" s="129"/>
      <c r="H121" s="129"/>
      <c r="I121" s="129"/>
      <c r="J121" s="129"/>
      <c r="K121" s="129"/>
      <c r="L121" s="129"/>
      <c r="M121" s="129"/>
      <c r="N121" s="129"/>
      <c r="O121" s="129"/>
      <c r="P121" s="129"/>
      <c r="Q121" s="693" t="s">
        <v>204</v>
      </c>
      <c r="R121" s="693" t="s">
        <v>204</v>
      </c>
      <c r="S121" s="695" t="s">
        <v>238</v>
      </c>
      <c r="T121" s="693" t="s">
        <v>94</v>
      </c>
      <c r="U121" s="693" t="s">
        <v>204</v>
      </c>
      <c r="V121" s="693" t="s">
        <v>204</v>
      </c>
      <c r="W121" s="695" t="s">
        <v>843</v>
      </c>
      <c r="X121" s="693" t="s">
        <v>612</v>
      </c>
      <c r="Y121" s="716" t="s">
        <v>391</v>
      </c>
      <c r="Z121" s="67">
        <v>1</v>
      </c>
      <c r="AA121" s="695" t="s">
        <v>835</v>
      </c>
      <c r="AB121" s="693" t="s">
        <v>611</v>
      </c>
      <c r="AC121" s="701">
        <v>30000000</v>
      </c>
      <c r="AD121" s="706">
        <v>1</v>
      </c>
      <c r="AE121" s="693" t="s">
        <v>17</v>
      </c>
      <c r="AF121" s="693" t="s">
        <v>23</v>
      </c>
      <c r="AG121" s="693" t="s">
        <v>204</v>
      </c>
      <c r="AH121" s="693" t="s">
        <v>638</v>
      </c>
      <c r="AI121" s="693" t="s">
        <v>78</v>
      </c>
      <c r="AJ121" s="693" t="s">
        <v>1278</v>
      </c>
      <c r="AK121" s="693" t="s">
        <v>613</v>
      </c>
      <c r="AL121" s="693" t="s">
        <v>42</v>
      </c>
      <c r="AM121" s="67">
        <v>1</v>
      </c>
      <c r="AN121" s="693" t="str">
        <f t="shared" si="181"/>
        <v>Poner en funcionamiento de un digiturno, de acuerdo a las especificaciones técnicas definidas por ADRES y evaluación satisfacción usuarios</v>
      </c>
      <c r="AO121" s="703">
        <f t="shared" si="182"/>
        <v>30000000</v>
      </c>
      <c r="AP121" s="700" t="s">
        <v>46</v>
      </c>
      <c r="AQ121" s="67">
        <v>0</v>
      </c>
      <c r="AR121" s="693" t="str">
        <f t="shared" si="183"/>
        <v>Poner en funcionamiento de un digiturno, de acuerdo a las especificaciones técnicas definidas por ADRES y evaluación satisfacción usuarios</v>
      </c>
      <c r="AS121" s="691">
        <v>0</v>
      </c>
      <c r="AT121" s="491">
        <v>0</v>
      </c>
      <c r="AU121" s="709">
        <v>0</v>
      </c>
      <c r="AV121" s="690" t="e">
        <f t="shared" si="184"/>
        <v>#DIV/0!</v>
      </c>
      <c r="AW121" s="690" t="e">
        <f t="shared" si="185"/>
        <v>#DIV/0!</v>
      </c>
      <c r="AX121" s="690">
        <f t="shared" si="186"/>
        <v>0</v>
      </c>
      <c r="AY121" s="690">
        <f t="shared" si="187"/>
        <v>0</v>
      </c>
      <c r="AZ121" s="522" t="s">
        <v>1343</v>
      </c>
      <c r="BA121" s="636">
        <v>0</v>
      </c>
      <c r="BB121" s="693" t="str">
        <f t="shared" si="188"/>
        <v>Poner en funcionamiento de un digiturno, de acuerdo a las especificaciones técnicas definidas por ADRES y evaluación satisfacción usuarios</v>
      </c>
      <c r="BC121" s="594">
        <v>0</v>
      </c>
      <c r="BD121" s="129">
        <v>0</v>
      </c>
      <c r="BE121" s="936">
        <v>0</v>
      </c>
      <c r="BF121" s="690" t="e">
        <f t="shared" si="189"/>
        <v>#DIV/0!</v>
      </c>
      <c r="BG121" s="690" t="e">
        <f t="shared" si="190"/>
        <v>#DIV/0!</v>
      </c>
      <c r="BH121" s="690">
        <f t="shared" si="191"/>
        <v>0</v>
      </c>
      <c r="BI121" s="690">
        <f t="shared" si="192"/>
        <v>0</v>
      </c>
      <c r="BJ121" s="512" t="s">
        <v>1343</v>
      </c>
      <c r="BK121" s="636">
        <v>1</v>
      </c>
      <c r="BL121" s="693" t="str">
        <f t="shared" si="193"/>
        <v>Poner en funcionamiento de un digiturno, de acuerdo a las especificaciones técnicas definidas por ADRES y evaluación satisfacción usuarios</v>
      </c>
      <c r="BM121" s="594">
        <v>30000000</v>
      </c>
      <c r="BN121" s="695"/>
      <c r="BO121" s="695"/>
      <c r="BP121" s="690">
        <f t="shared" si="194"/>
        <v>0</v>
      </c>
      <c r="BQ121" s="690">
        <f t="shared" si="195"/>
        <v>0</v>
      </c>
      <c r="BR121" s="690">
        <f t="shared" si="196"/>
        <v>0</v>
      </c>
      <c r="BS121" s="690">
        <f t="shared" si="197"/>
        <v>0</v>
      </c>
      <c r="BT121" s="690"/>
      <c r="BU121" s="67">
        <v>0</v>
      </c>
      <c r="BV121" s="693" t="str">
        <f t="shared" si="198"/>
        <v>Poner en funcionamiento de un digiturno, de acuerdo a las especificaciones técnicas definidas por ADRES y evaluación satisfacción usuarios</v>
      </c>
      <c r="BW121" s="691">
        <v>0</v>
      </c>
      <c r="BX121" s="695"/>
      <c r="BY121" s="695"/>
      <c r="BZ121" s="698" t="e">
        <f t="shared" si="199"/>
        <v>#DIV/0!</v>
      </c>
      <c r="CA121" s="698" t="e">
        <f t="shared" si="200"/>
        <v>#DIV/0!</v>
      </c>
      <c r="CB121" s="698">
        <f t="shared" si="201"/>
        <v>0</v>
      </c>
      <c r="CC121" s="698">
        <f t="shared" si="202"/>
        <v>0</v>
      </c>
      <c r="CD121" s="698"/>
      <c r="CE121" s="697" t="str">
        <f t="shared" si="203"/>
        <v>No Prog ni Ejec</v>
      </c>
      <c r="CF121" s="697" t="str">
        <f t="shared" si="204"/>
        <v>No Prog ni Ejec</v>
      </c>
      <c r="CG121" s="697" t="str">
        <f t="shared" si="205"/>
        <v>No Prog ni Ejec</v>
      </c>
      <c r="CH121" s="697" t="str">
        <f t="shared" si="206"/>
        <v>No Prog ni Ejec</v>
      </c>
      <c r="CI121" s="697">
        <f t="shared" si="207"/>
        <v>0</v>
      </c>
      <c r="CJ121" s="697">
        <f t="shared" si="208"/>
        <v>0</v>
      </c>
      <c r="CK121" s="697" t="str">
        <f t="shared" si="209"/>
        <v>No Prog ni Ejec</v>
      </c>
      <c r="CL121" s="786" t="str">
        <f t="shared" si="210"/>
        <v>No Prog ni Ejec</v>
      </c>
      <c r="CM121" s="136">
        <f t="shared" si="133"/>
        <v>0</v>
      </c>
      <c r="CW121" s="125">
        <v>6</v>
      </c>
    </row>
    <row r="122" spans="1:107" s="70" customFormat="1" ht="140.25" hidden="1" x14ac:dyDescent="0.2">
      <c r="A122" s="785">
        <v>11700</v>
      </c>
      <c r="B122" s="693" t="s">
        <v>14</v>
      </c>
      <c r="C122" s="693" t="s">
        <v>330</v>
      </c>
      <c r="D122" s="129"/>
      <c r="E122" s="129" t="s">
        <v>1023</v>
      </c>
      <c r="F122" s="129" t="s">
        <v>1023</v>
      </c>
      <c r="G122" s="129"/>
      <c r="H122" s="129"/>
      <c r="I122" s="129"/>
      <c r="J122" s="129"/>
      <c r="K122" s="129"/>
      <c r="L122" s="129"/>
      <c r="M122" s="129"/>
      <c r="N122" s="129"/>
      <c r="O122" s="129"/>
      <c r="P122" s="129"/>
      <c r="Q122" s="693" t="s">
        <v>204</v>
      </c>
      <c r="R122" s="693" t="s">
        <v>204</v>
      </c>
      <c r="S122" s="695" t="s">
        <v>238</v>
      </c>
      <c r="T122" s="693" t="s">
        <v>94</v>
      </c>
      <c r="U122" s="693" t="s">
        <v>204</v>
      </c>
      <c r="V122" s="693" t="s">
        <v>204</v>
      </c>
      <c r="W122" s="695" t="s">
        <v>844</v>
      </c>
      <c r="X122" s="693" t="s">
        <v>363</v>
      </c>
      <c r="Y122" s="716" t="s">
        <v>51</v>
      </c>
      <c r="Z122" s="706">
        <v>1</v>
      </c>
      <c r="AA122" s="695" t="s">
        <v>836</v>
      </c>
      <c r="AB122" s="693" t="s">
        <v>614</v>
      </c>
      <c r="AC122" s="701">
        <f>95547737+410239094.26</f>
        <v>505786831.25999999</v>
      </c>
      <c r="AD122" s="706">
        <v>1</v>
      </c>
      <c r="AE122" s="693" t="s">
        <v>17</v>
      </c>
      <c r="AF122" s="693" t="s">
        <v>23</v>
      </c>
      <c r="AG122" s="693" t="s">
        <v>204</v>
      </c>
      <c r="AH122" s="693" t="s">
        <v>638</v>
      </c>
      <c r="AI122" s="693" t="s">
        <v>78</v>
      </c>
      <c r="AJ122" s="693" t="s">
        <v>1287</v>
      </c>
      <c r="AK122" s="82" t="s">
        <v>315</v>
      </c>
      <c r="AL122" s="693" t="s">
        <v>42</v>
      </c>
      <c r="AM122" s="706">
        <v>0.8</v>
      </c>
      <c r="AN122" s="693" t="str">
        <f t="shared" si="181"/>
        <v>Brindar atención, respuesta inmediata, seguimiento a solicitudes de los ciudadanos, empresas y servidores públicos sobre los tramites y servicios de la ADRES y para la ejecución de Campañas informativas</v>
      </c>
      <c r="AO122" s="703">
        <f t="shared" si="182"/>
        <v>505786831.25999999</v>
      </c>
      <c r="AP122" s="700" t="s">
        <v>46</v>
      </c>
      <c r="AQ122" s="706">
        <v>0.2</v>
      </c>
      <c r="AR122" s="693" t="str">
        <f t="shared" si="183"/>
        <v>Brindar atención, respuesta inmediata, seguimiento a solicitudes de los ciudadanos, empresas y servidores públicos sobre los tramites y servicios de la ADRES y para la ejecución de Campañas informativas</v>
      </c>
      <c r="AS122" s="691">
        <f>+AO122/4</f>
        <v>126446707.815</v>
      </c>
      <c r="AT122" s="867">
        <v>0.19645477937672737</v>
      </c>
      <c r="AU122" s="497">
        <v>89331190</v>
      </c>
      <c r="AV122" s="690">
        <f t="shared" si="184"/>
        <v>0.98227389688363675</v>
      </c>
      <c r="AW122" s="690">
        <f t="shared" si="185"/>
        <v>0.70647303946179063</v>
      </c>
      <c r="AX122" s="690">
        <f t="shared" si="186"/>
        <v>0.24556847422090919</v>
      </c>
      <c r="AY122" s="690">
        <f t="shared" si="187"/>
        <v>0.17661825986544766</v>
      </c>
      <c r="AZ122" s="490" t="s">
        <v>1344</v>
      </c>
      <c r="BA122" s="706">
        <v>0.2</v>
      </c>
      <c r="BB122" s="693" t="str">
        <f t="shared" si="188"/>
        <v>Brindar atención, respuesta inmediata, seguimiento a solicitudes de los ciudadanos, empresas y servidores públicos sobre los tramites y servicios de la ADRES y para la ejecución de Campañas informativas</v>
      </c>
      <c r="BC122" s="691">
        <f>+AO122/4</f>
        <v>126446707.815</v>
      </c>
      <c r="BD122" s="856">
        <f>14017/14541*20%</f>
        <v>0.19279279279279282</v>
      </c>
      <c r="BE122" s="691">
        <v>133994342</v>
      </c>
      <c r="BF122" s="690">
        <f t="shared" si="189"/>
        <v>0.96396396396396411</v>
      </c>
      <c r="BG122" s="690">
        <f t="shared" si="190"/>
        <v>1.0596902388003862</v>
      </c>
      <c r="BH122" s="690">
        <f t="shared" si="191"/>
        <v>0.48655946521190024</v>
      </c>
      <c r="BI122" s="690">
        <f t="shared" si="192"/>
        <v>0.4415408195655442</v>
      </c>
      <c r="BJ122" s="516" t="s">
        <v>1773</v>
      </c>
      <c r="BK122" s="706">
        <v>0.2</v>
      </c>
      <c r="BL122" s="693" t="str">
        <f t="shared" si="193"/>
        <v>Brindar atención, respuesta inmediata, seguimiento a solicitudes de los ciudadanos, empresas y servidores públicos sobre los tramites y servicios de la ADRES y para la ejecución de Campañas informativas</v>
      </c>
      <c r="BM122" s="691">
        <f>+AO122/4</f>
        <v>126446707.815</v>
      </c>
      <c r="BN122" s="695"/>
      <c r="BO122" s="695"/>
      <c r="BP122" s="690">
        <f t="shared" si="194"/>
        <v>0</v>
      </c>
      <c r="BQ122" s="690">
        <f t="shared" si="195"/>
        <v>0</v>
      </c>
      <c r="BR122" s="690">
        <f t="shared" si="196"/>
        <v>0.48655946521190024</v>
      </c>
      <c r="BS122" s="690">
        <f t="shared" si="197"/>
        <v>0.4415408195655442</v>
      </c>
      <c r="BT122" s="690"/>
      <c r="BU122" s="706">
        <v>0.2</v>
      </c>
      <c r="BV122" s="693" t="str">
        <f t="shared" si="198"/>
        <v>Brindar atención, respuesta inmediata, seguimiento a solicitudes de los ciudadanos, empresas y servidores públicos sobre los tramites y servicios de la ADRES y para la ejecución de Campañas informativas</v>
      </c>
      <c r="BW122" s="691">
        <f>+AO122/4</f>
        <v>126446707.815</v>
      </c>
      <c r="BX122" s="695"/>
      <c r="BY122" s="695"/>
      <c r="BZ122" s="698">
        <f t="shared" si="199"/>
        <v>0</v>
      </c>
      <c r="CA122" s="698">
        <f t="shared" si="200"/>
        <v>0</v>
      </c>
      <c r="CB122" s="698">
        <f t="shared" si="201"/>
        <v>0.48655946521190024</v>
      </c>
      <c r="CC122" s="698">
        <f t="shared" si="202"/>
        <v>0.4415408195655442</v>
      </c>
      <c r="CD122" s="698"/>
      <c r="CE122" s="697">
        <f t="shared" si="203"/>
        <v>0.98227389688363675</v>
      </c>
      <c r="CF122" s="697">
        <f t="shared" si="204"/>
        <v>0.70647303946179063</v>
      </c>
      <c r="CG122" s="697">
        <f t="shared" si="205"/>
        <v>0.96396396396396411</v>
      </c>
      <c r="CH122" s="697">
        <f t="shared" si="206"/>
        <v>1.0596902388003862</v>
      </c>
      <c r="CI122" s="697">
        <f t="shared" si="207"/>
        <v>0</v>
      </c>
      <c r="CJ122" s="697">
        <f t="shared" si="208"/>
        <v>0</v>
      </c>
      <c r="CK122" s="697">
        <f t="shared" si="209"/>
        <v>0</v>
      </c>
      <c r="CL122" s="786">
        <f t="shared" si="210"/>
        <v>0</v>
      </c>
      <c r="CM122" s="136">
        <f t="shared" si="133"/>
        <v>0</v>
      </c>
      <c r="CW122" s="125">
        <v>6</v>
      </c>
    </row>
    <row r="123" spans="1:107" s="70" customFormat="1" ht="106.5" hidden="1" customHeight="1" x14ac:dyDescent="0.2">
      <c r="A123" s="785">
        <v>11700</v>
      </c>
      <c r="B123" s="693" t="s">
        <v>14</v>
      </c>
      <c r="C123" s="693" t="s">
        <v>336</v>
      </c>
      <c r="D123" s="129" t="s">
        <v>1023</v>
      </c>
      <c r="E123" s="129"/>
      <c r="F123" s="129"/>
      <c r="G123" s="129"/>
      <c r="H123" s="129"/>
      <c r="I123" s="129"/>
      <c r="J123" s="129"/>
      <c r="K123" s="129"/>
      <c r="L123" s="129"/>
      <c r="M123" s="129"/>
      <c r="N123" s="129"/>
      <c r="O123" s="129"/>
      <c r="P123" s="129"/>
      <c r="Q123" s="693" t="s">
        <v>1137</v>
      </c>
      <c r="R123" s="693" t="s">
        <v>1141</v>
      </c>
      <c r="S123" s="695" t="s">
        <v>238</v>
      </c>
      <c r="T123" s="693" t="s">
        <v>94</v>
      </c>
      <c r="U123" s="693" t="s">
        <v>204</v>
      </c>
      <c r="V123" s="693" t="s">
        <v>204</v>
      </c>
      <c r="W123" s="695" t="s">
        <v>845</v>
      </c>
      <c r="X123" s="693" t="s">
        <v>641</v>
      </c>
      <c r="Y123" s="716" t="s">
        <v>391</v>
      </c>
      <c r="Z123" s="67">
        <v>1</v>
      </c>
      <c r="AA123" s="695" t="s">
        <v>837</v>
      </c>
      <c r="AB123" s="693" t="s">
        <v>639</v>
      </c>
      <c r="AC123" s="701">
        <v>0</v>
      </c>
      <c r="AD123" s="706">
        <v>1</v>
      </c>
      <c r="AE123" s="693" t="s">
        <v>17</v>
      </c>
      <c r="AF123" s="693" t="s">
        <v>23</v>
      </c>
      <c r="AG123" s="693" t="s">
        <v>204</v>
      </c>
      <c r="AH123" s="693" t="s">
        <v>638</v>
      </c>
      <c r="AI123" s="693" t="s">
        <v>78</v>
      </c>
      <c r="AJ123" s="693" t="s">
        <v>1287</v>
      </c>
      <c r="AK123" s="82" t="s">
        <v>640</v>
      </c>
      <c r="AL123" s="693" t="s">
        <v>42</v>
      </c>
      <c r="AM123" s="67">
        <v>1</v>
      </c>
      <c r="AN123" s="693" t="str">
        <f t="shared" si="181"/>
        <v>Actualizar el manual de la Política de Servicio al Ciudadano con el propósito de orientar la gestión al interior de la entidad y socializarlo en los programas de Inducción y Reinducción de la ADRES</v>
      </c>
      <c r="AO123" s="703">
        <f t="shared" si="182"/>
        <v>0</v>
      </c>
      <c r="AP123" s="700" t="s">
        <v>48</v>
      </c>
      <c r="AQ123" s="67">
        <v>1</v>
      </c>
      <c r="AR123" s="693" t="str">
        <f t="shared" si="183"/>
        <v>Actualizar el manual de la Política de Servicio al Ciudadano con el propósito de orientar la gestión al interior de la entidad y socializarlo en los programas de Inducción y Reinducción de la ADRES</v>
      </c>
      <c r="AS123" s="691">
        <v>0</v>
      </c>
      <c r="AT123" s="491">
        <v>1</v>
      </c>
      <c r="AU123" s="709">
        <v>0</v>
      </c>
      <c r="AV123" s="690">
        <f t="shared" si="184"/>
        <v>1</v>
      </c>
      <c r="AW123" s="690" t="e">
        <f t="shared" si="185"/>
        <v>#DIV/0!</v>
      </c>
      <c r="AX123" s="690">
        <f t="shared" si="186"/>
        <v>1</v>
      </c>
      <c r="AY123" s="690" t="e">
        <f t="shared" si="187"/>
        <v>#DIV/0!</v>
      </c>
      <c r="AZ123" s="490" t="s">
        <v>1345</v>
      </c>
      <c r="BA123" s="99">
        <v>0</v>
      </c>
      <c r="BB123" s="693" t="str">
        <f t="shared" si="188"/>
        <v>Actualizar el manual de la Política de Servicio al Ciudadano con el propósito de orientar la gestión al interior de la entidad y socializarlo en los programas de Inducción y Reinducción de la ADRES</v>
      </c>
      <c r="BC123" s="701">
        <v>0</v>
      </c>
      <c r="BD123" s="129">
        <v>0</v>
      </c>
      <c r="BE123" s="691">
        <v>0</v>
      </c>
      <c r="BF123" s="690" t="e">
        <f t="shared" si="189"/>
        <v>#DIV/0!</v>
      </c>
      <c r="BG123" s="690" t="e">
        <f t="shared" si="190"/>
        <v>#DIV/0!</v>
      </c>
      <c r="BH123" s="690">
        <f t="shared" si="191"/>
        <v>1</v>
      </c>
      <c r="BI123" s="690" t="e">
        <f t="shared" si="192"/>
        <v>#DIV/0!</v>
      </c>
      <c r="BJ123" s="512" t="s">
        <v>1343</v>
      </c>
      <c r="BK123" s="99">
        <v>0</v>
      </c>
      <c r="BL123" s="693" t="str">
        <f t="shared" si="193"/>
        <v>Actualizar el manual de la Política de Servicio al Ciudadano con el propósito de orientar la gestión al interior de la entidad y socializarlo en los programas de Inducción y Reinducción de la ADRES</v>
      </c>
      <c r="BM123" s="691">
        <v>0</v>
      </c>
      <c r="BN123" s="695"/>
      <c r="BO123" s="695"/>
      <c r="BP123" s="690" t="e">
        <f t="shared" si="194"/>
        <v>#DIV/0!</v>
      </c>
      <c r="BQ123" s="690" t="e">
        <f t="shared" si="195"/>
        <v>#DIV/0!</v>
      </c>
      <c r="BR123" s="690">
        <f t="shared" si="196"/>
        <v>1</v>
      </c>
      <c r="BS123" s="690" t="e">
        <f t="shared" si="197"/>
        <v>#DIV/0!</v>
      </c>
      <c r="BT123" s="690"/>
      <c r="BU123" s="99">
        <v>0</v>
      </c>
      <c r="BV123" s="693" t="str">
        <f t="shared" si="198"/>
        <v>Actualizar el manual de la Política de Servicio al Ciudadano con el propósito de orientar la gestión al interior de la entidad y socializarlo en los programas de Inducción y Reinducción de la ADRES</v>
      </c>
      <c r="BW123" s="691">
        <v>0</v>
      </c>
      <c r="BX123" s="695"/>
      <c r="BY123" s="695"/>
      <c r="BZ123" s="698" t="e">
        <f t="shared" si="199"/>
        <v>#DIV/0!</v>
      </c>
      <c r="CA123" s="698" t="e">
        <f t="shared" si="200"/>
        <v>#DIV/0!</v>
      </c>
      <c r="CB123" s="698">
        <f t="shared" si="201"/>
        <v>1</v>
      </c>
      <c r="CC123" s="698" t="e">
        <f t="shared" si="202"/>
        <v>#DIV/0!</v>
      </c>
      <c r="CD123" s="698"/>
      <c r="CE123" s="697">
        <f t="shared" si="203"/>
        <v>1</v>
      </c>
      <c r="CF123" s="697" t="str">
        <f t="shared" si="204"/>
        <v>No Prog ni Ejec</v>
      </c>
      <c r="CG123" s="697" t="str">
        <f t="shared" si="205"/>
        <v>No Prog ni Ejec</v>
      </c>
      <c r="CH123" s="697" t="str">
        <f t="shared" si="206"/>
        <v>No Prog ni Ejec</v>
      </c>
      <c r="CI123" s="697" t="str">
        <f t="shared" si="207"/>
        <v>No Prog ni Ejec</v>
      </c>
      <c r="CJ123" s="697" t="str">
        <f t="shared" si="208"/>
        <v>No Prog ni Ejec</v>
      </c>
      <c r="CK123" s="697" t="str">
        <f t="shared" si="209"/>
        <v>No Prog ni Ejec</v>
      </c>
      <c r="CL123" s="786" t="str">
        <f t="shared" si="210"/>
        <v>No Prog ni Ejec</v>
      </c>
      <c r="CM123" s="136">
        <f t="shared" si="133"/>
        <v>0</v>
      </c>
      <c r="CW123" s="125">
        <v>6</v>
      </c>
    </row>
    <row r="124" spans="1:107" s="70" customFormat="1" ht="122.25" hidden="1" customHeight="1" x14ac:dyDescent="0.2">
      <c r="A124" s="785">
        <v>11700</v>
      </c>
      <c r="B124" s="693" t="s">
        <v>14</v>
      </c>
      <c r="C124" s="693" t="s">
        <v>615</v>
      </c>
      <c r="D124" s="129" t="s">
        <v>1023</v>
      </c>
      <c r="E124" s="129"/>
      <c r="F124" s="129"/>
      <c r="G124" s="129" t="s">
        <v>1023</v>
      </c>
      <c r="H124" s="129"/>
      <c r="I124" s="129"/>
      <c r="J124" s="129"/>
      <c r="K124" s="129"/>
      <c r="L124" s="129" t="s">
        <v>1023</v>
      </c>
      <c r="M124" s="129"/>
      <c r="N124" s="129"/>
      <c r="O124" s="129"/>
      <c r="P124" s="129"/>
      <c r="Q124" s="693" t="s">
        <v>1137</v>
      </c>
      <c r="R124" s="693" t="s">
        <v>1750</v>
      </c>
      <c r="S124" s="695" t="s">
        <v>238</v>
      </c>
      <c r="T124" s="693" t="s">
        <v>94</v>
      </c>
      <c r="U124" s="693" t="s">
        <v>204</v>
      </c>
      <c r="V124" s="693" t="s">
        <v>204</v>
      </c>
      <c r="W124" s="695" t="s">
        <v>846</v>
      </c>
      <c r="X124" s="693" t="s">
        <v>643</v>
      </c>
      <c r="Y124" s="716" t="s">
        <v>408</v>
      </c>
      <c r="Z124" s="597">
        <f>25+18</f>
        <v>43</v>
      </c>
      <c r="AA124" s="695" t="s">
        <v>838</v>
      </c>
      <c r="AB124" s="724" t="s">
        <v>642</v>
      </c>
      <c r="AC124" s="691">
        <v>0</v>
      </c>
      <c r="AD124" s="706">
        <v>1</v>
      </c>
      <c r="AE124" s="693" t="s">
        <v>17</v>
      </c>
      <c r="AF124" s="693" t="s">
        <v>23</v>
      </c>
      <c r="AG124" s="693" t="s">
        <v>204</v>
      </c>
      <c r="AH124" s="693" t="s">
        <v>638</v>
      </c>
      <c r="AI124" s="693" t="s">
        <v>78</v>
      </c>
      <c r="AJ124" s="693" t="s">
        <v>1288</v>
      </c>
      <c r="AK124" s="652" t="s">
        <v>1601</v>
      </c>
      <c r="AL124" s="693" t="s">
        <v>42</v>
      </c>
      <c r="AM124" s="67">
        <v>100</v>
      </c>
      <c r="AN124" s="693" t="str">
        <f t="shared" ref="AN124:AN131" si="211">+AB124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4" s="703">
        <f t="shared" ref="AO124:AO131" si="212">+AC124</f>
        <v>0</v>
      </c>
      <c r="AP124" s="700" t="s">
        <v>48</v>
      </c>
      <c r="AQ124" s="67">
        <v>25</v>
      </c>
      <c r="AR124" s="693" t="str">
        <f t="shared" ref="AR124:AR131" si="213">+AN124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4" s="691">
        <v>0</v>
      </c>
      <c r="AT124" s="695">
        <v>25</v>
      </c>
      <c r="AU124" s="691">
        <v>0</v>
      </c>
      <c r="AV124" s="690">
        <f t="shared" ref="AV124:AV131" si="214">+(AT124/AQ124)</f>
        <v>1</v>
      </c>
      <c r="AW124" s="690" t="e">
        <f t="shared" ref="AW124:AW131" si="215">+(AU124/AS124)</f>
        <v>#DIV/0!</v>
      </c>
      <c r="AX124" s="690">
        <f t="shared" ref="AX124:AX131" si="216">+(AT124/AM124)</f>
        <v>0.25</v>
      </c>
      <c r="AY124" s="690" t="e">
        <f t="shared" ref="AY124:AY131" si="217">+(AU124/AO124)</f>
        <v>#DIV/0!</v>
      </c>
      <c r="AZ124" s="71" t="s">
        <v>1644</v>
      </c>
      <c r="BA124" s="636">
        <v>6</v>
      </c>
      <c r="BB124" s="693" t="str">
        <f t="shared" ref="BB124:BB131" si="218">+AN124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4" s="691">
        <v>0</v>
      </c>
      <c r="BD124" s="716">
        <v>6</v>
      </c>
      <c r="BE124" s="691">
        <v>0</v>
      </c>
      <c r="BF124" s="690">
        <f t="shared" ref="BF124:BF131" si="219">+(BD124/BA124)</f>
        <v>1</v>
      </c>
      <c r="BG124" s="690" t="e">
        <f t="shared" ref="BG124:BG131" si="220">+(BE124/BC124)</f>
        <v>#DIV/0!</v>
      </c>
      <c r="BH124" s="690">
        <f t="shared" ref="BH124:BH131" si="221">+(BD124+AT124)/AM124</f>
        <v>0.31</v>
      </c>
      <c r="BI124" s="690" t="e">
        <f t="shared" ref="BI124:BI131" si="222">+(BE124+AU124)/AO124</f>
        <v>#DIV/0!</v>
      </c>
      <c r="BJ124" s="516" t="s">
        <v>1774</v>
      </c>
      <c r="BK124" s="636">
        <v>6</v>
      </c>
      <c r="BL124" s="693" t="str">
        <f t="shared" ref="BL124:BL131" si="223">+AN124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4" s="691">
        <v>0</v>
      </c>
      <c r="BN124" s="695"/>
      <c r="BO124" s="695"/>
      <c r="BP124" s="690">
        <f t="shared" ref="BP124:BP131" si="224">+(BN124/BK124)</f>
        <v>0</v>
      </c>
      <c r="BQ124" s="690" t="e">
        <f t="shared" ref="BQ124:BQ131" si="225">+(BO124/BM124)</f>
        <v>#DIV/0!</v>
      </c>
      <c r="BR124" s="690">
        <f t="shared" ref="BR124:BR131" si="226">+(BD124+AT124+BN124)/AM124</f>
        <v>0.31</v>
      </c>
      <c r="BS124" s="690" t="e">
        <f t="shared" ref="BS124:BS131" si="227">+(BE124+AU124+BO124)/AO124</f>
        <v>#DIV/0!</v>
      </c>
      <c r="BT124" s="690"/>
      <c r="BU124" s="636">
        <v>6</v>
      </c>
      <c r="BV124" s="693" t="str">
        <f t="shared" ref="BV124:BV131" si="228">+AN124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4" s="691">
        <v>0</v>
      </c>
      <c r="BX124" s="695"/>
      <c r="BY124" s="695"/>
      <c r="BZ124" s="698">
        <f t="shared" ref="BZ124:BZ131" si="229">+(BX124/BU124)</f>
        <v>0</v>
      </c>
      <c r="CA124" s="698" t="e">
        <f t="shared" ref="CA124:CA131" si="230">+(BY124/BW124)</f>
        <v>#DIV/0!</v>
      </c>
      <c r="CB124" s="698">
        <f t="shared" ref="CB124:CB131" si="231">+(BD124+AT124+BN124+BX124)/AM124</f>
        <v>0.31</v>
      </c>
      <c r="CC124" s="698" t="e">
        <f t="shared" ref="CC124:CC131" si="232">+(BE124+AU124+BO124+BY124)/AO124</f>
        <v>#DIV/0!</v>
      </c>
      <c r="CD124" s="698"/>
      <c r="CE124" s="697">
        <f t="shared" ref="CE124:CE131" si="233">IF(AND(AQ124=0,AT124=0),"No Prog ni Ejec",IF(AQ124=0,CONCATENATE("No Prog, Ejec=  ",AT124),AT124/AQ124))</f>
        <v>1</v>
      </c>
      <c r="CF124" s="697" t="str">
        <f t="shared" ref="CF124:CF131" si="234">IF(AND(AS124=0,AU124=0),"No Prog ni Ejec",IF(AS124=0,CONCATENATE("No Prog, Ejec=  ",AU124),AU124/AS124))</f>
        <v>No Prog ni Ejec</v>
      </c>
      <c r="CG124" s="697">
        <f t="shared" ref="CG124:CG131" si="235">IF(AND(BA124=0,BD124=0),"No Prog ni Ejec",IF(BA124=0,CONCATENATE("No Prog, Ejec=  ",BD124),BD124/BA124))</f>
        <v>1</v>
      </c>
      <c r="CH124" s="697" t="str">
        <f t="shared" ref="CH124:CH131" si="236">IF(AND(BC124=0,BE124=0),"No Prog ni Ejec",IF(BC124=0,CONCATENATE("No Prog, Ejec=  ",BE124),BE124/BC124))</f>
        <v>No Prog ni Ejec</v>
      </c>
      <c r="CI124" s="697">
        <f t="shared" ref="CI124:CI131" si="237">IF(AND(BK124=0,BN124=0),"No Prog ni Ejec",IF(BK124=0,CONCATENATE("No Prog, Ejec=  ",BN124),BN124/BK124))</f>
        <v>0</v>
      </c>
      <c r="CJ124" s="697" t="str">
        <f t="shared" ref="CJ124:CJ131" si="238">IF(AND(BM124=0,BO124=0),"No Prog ni Ejec",IF(BM124=0,CONCATENATE("No Prog, Ejec=  ",BO124),BO124/BM124))</f>
        <v>No Prog ni Ejec</v>
      </c>
      <c r="CK124" s="697">
        <f t="shared" ref="CK124:CK131" si="239">IF(AND(BU124=0,BX124=0),"No Prog ni Ejec",IF(BU124=0,CONCATENATE("No Prog, Ejec=  ",BX124),BX124/BU124))</f>
        <v>0</v>
      </c>
      <c r="CL124" s="786" t="str">
        <f t="shared" ref="CL124:CL131" si="240">IF(AND(BW124=0,BY124=0),"No Prog ni Ejec",IF(BW124=0,CONCATENATE("No Prog, Ejec=  ",BY124),BY124/BW124))</f>
        <v>No Prog ni Ejec</v>
      </c>
      <c r="CM124" s="136">
        <f t="shared" si="133"/>
        <v>0</v>
      </c>
      <c r="CU124" s="125">
        <v>4</v>
      </c>
      <c r="DB124" s="70">
        <v>11</v>
      </c>
    </row>
    <row r="125" spans="1:107" s="70" customFormat="1" ht="188.25" hidden="1" customHeight="1" x14ac:dyDescent="0.2">
      <c r="A125" s="785">
        <v>11700</v>
      </c>
      <c r="B125" s="693" t="s">
        <v>14</v>
      </c>
      <c r="C125" s="693" t="s">
        <v>336</v>
      </c>
      <c r="D125" s="129" t="s">
        <v>1023</v>
      </c>
      <c r="E125" s="129"/>
      <c r="F125" s="129"/>
      <c r="G125" s="129"/>
      <c r="H125" s="129"/>
      <c r="I125" s="129"/>
      <c r="J125" s="129"/>
      <c r="K125" s="129"/>
      <c r="L125" s="129"/>
      <c r="M125" s="129"/>
      <c r="N125" s="129"/>
      <c r="O125" s="129"/>
      <c r="P125" s="129"/>
      <c r="Q125" s="693" t="s">
        <v>1137</v>
      </c>
      <c r="R125" s="693" t="s">
        <v>1143</v>
      </c>
      <c r="S125" s="695" t="s">
        <v>238</v>
      </c>
      <c r="T125" s="693" t="s">
        <v>94</v>
      </c>
      <c r="U125" s="693" t="s">
        <v>204</v>
      </c>
      <c r="V125" s="693" t="s">
        <v>204</v>
      </c>
      <c r="W125" s="695" t="s">
        <v>847</v>
      </c>
      <c r="X125" s="693" t="s">
        <v>364</v>
      </c>
      <c r="Y125" s="716" t="s">
        <v>408</v>
      </c>
      <c r="Z125" s="706">
        <v>1</v>
      </c>
      <c r="AA125" s="695" t="s">
        <v>839</v>
      </c>
      <c r="AB125" s="693" t="s">
        <v>369</v>
      </c>
      <c r="AC125" s="691">
        <v>0</v>
      </c>
      <c r="AD125" s="706">
        <v>1</v>
      </c>
      <c r="AE125" s="693" t="s">
        <v>17</v>
      </c>
      <c r="AF125" s="693" t="s">
        <v>23</v>
      </c>
      <c r="AG125" s="693" t="s">
        <v>204</v>
      </c>
      <c r="AH125" s="693" t="s">
        <v>638</v>
      </c>
      <c r="AI125" s="693" t="s">
        <v>78</v>
      </c>
      <c r="AJ125" s="693" t="s">
        <v>204</v>
      </c>
      <c r="AK125" s="82" t="s">
        <v>616</v>
      </c>
      <c r="AL125" s="693" t="s">
        <v>42</v>
      </c>
      <c r="AM125" s="706">
        <v>1</v>
      </c>
      <c r="AN125" s="693" t="str">
        <f t="shared" si="211"/>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5" s="703">
        <f t="shared" si="212"/>
        <v>0</v>
      </c>
      <c r="AP125" s="700" t="s">
        <v>48</v>
      </c>
      <c r="AQ125" s="698">
        <v>0.25</v>
      </c>
      <c r="AR125" s="693" t="str">
        <f t="shared" si="213"/>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5" s="691">
        <v>0</v>
      </c>
      <c r="AT125" s="868">
        <v>0.25</v>
      </c>
      <c r="AU125" s="709">
        <v>0</v>
      </c>
      <c r="AV125" s="690">
        <f t="shared" si="214"/>
        <v>1</v>
      </c>
      <c r="AW125" s="690" t="e">
        <f t="shared" si="215"/>
        <v>#DIV/0!</v>
      </c>
      <c r="AX125" s="690">
        <f t="shared" si="216"/>
        <v>0.25</v>
      </c>
      <c r="AY125" s="690" t="e">
        <f t="shared" si="217"/>
        <v>#DIV/0!</v>
      </c>
      <c r="AZ125" s="490" t="s">
        <v>1346</v>
      </c>
      <c r="BA125" s="698">
        <v>0.25</v>
      </c>
      <c r="BB125" s="693" t="str">
        <f t="shared" si="218"/>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5" s="691">
        <v>0</v>
      </c>
      <c r="BD125" s="681">
        <f>1/1*0.25</f>
        <v>0.25</v>
      </c>
      <c r="BE125" s="691">
        <v>0</v>
      </c>
      <c r="BF125" s="690">
        <f t="shared" si="219"/>
        <v>1</v>
      </c>
      <c r="BG125" s="690" t="e">
        <f t="shared" si="220"/>
        <v>#DIV/0!</v>
      </c>
      <c r="BH125" s="690">
        <f t="shared" si="221"/>
        <v>0.5</v>
      </c>
      <c r="BI125" s="690" t="e">
        <f t="shared" si="222"/>
        <v>#DIV/0!</v>
      </c>
      <c r="BJ125" s="516" t="s">
        <v>1775</v>
      </c>
      <c r="BK125" s="698">
        <v>0.25</v>
      </c>
      <c r="BL125" s="693" t="str">
        <f t="shared" si="223"/>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5" s="691">
        <v>0</v>
      </c>
      <c r="BN125" s="695"/>
      <c r="BO125" s="695"/>
      <c r="BP125" s="690">
        <f t="shared" si="224"/>
        <v>0</v>
      </c>
      <c r="BQ125" s="690" t="e">
        <f t="shared" si="225"/>
        <v>#DIV/0!</v>
      </c>
      <c r="BR125" s="690">
        <f t="shared" si="226"/>
        <v>0.5</v>
      </c>
      <c r="BS125" s="690" t="e">
        <f t="shared" si="227"/>
        <v>#DIV/0!</v>
      </c>
      <c r="BT125" s="690"/>
      <c r="BU125" s="698">
        <v>0.25</v>
      </c>
      <c r="BV125" s="693" t="str">
        <f t="shared" si="228"/>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5" s="691">
        <v>0</v>
      </c>
      <c r="BX125" s="695"/>
      <c r="BY125" s="695"/>
      <c r="BZ125" s="698">
        <f t="shared" si="229"/>
        <v>0</v>
      </c>
      <c r="CA125" s="698" t="e">
        <f t="shared" si="230"/>
        <v>#DIV/0!</v>
      </c>
      <c r="CB125" s="698">
        <f t="shared" si="231"/>
        <v>0.5</v>
      </c>
      <c r="CC125" s="698" t="e">
        <f t="shared" si="232"/>
        <v>#DIV/0!</v>
      </c>
      <c r="CD125" s="698"/>
      <c r="CE125" s="697">
        <f t="shared" si="233"/>
        <v>1</v>
      </c>
      <c r="CF125" s="697" t="str">
        <f t="shared" si="234"/>
        <v>No Prog ni Ejec</v>
      </c>
      <c r="CG125" s="697">
        <f t="shared" si="235"/>
        <v>1</v>
      </c>
      <c r="CH125" s="697" t="str">
        <f t="shared" si="236"/>
        <v>No Prog ni Ejec</v>
      </c>
      <c r="CI125" s="697">
        <f t="shared" si="237"/>
        <v>0</v>
      </c>
      <c r="CJ125" s="697" t="str">
        <f t="shared" si="238"/>
        <v>No Prog ni Ejec</v>
      </c>
      <c r="CK125" s="697">
        <f t="shared" si="239"/>
        <v>0</v>
      </c>
      <c r="CL125" s="786" t="str">
        <f t="shared" si="240"/>
        <v>No Prog ni Ejec</v>
      </c>
      <c r="CM125" s="136">
        <f t="shared" si="133"/>
        <v>0</v>
      </c>
      <c r="CR125" s="125">
        <v>1</v>
      </c>
      <c r="CS125" s="125"/>
      <c r="CT125" s="125"/>
      <c r="CU125" s="125"/>
      <c r="CV125" s="125"/>
      <c r="CW125" s="125"/>
      <c r="CX125" s="125"/>
      <c r="CY125" s="125"/>
      <c r="CZ125" s="125"/>
      <c r="DA125" s="125"/>
      <c r="DB125" s="125"/>
      <c r="DC125" s="125"/>
    </row>
    <row r="126" spans="1:107" s="70" customFormat="1" ht="111" hidden="1" customHeight="1" x14ac:dyDescent="0.2">
      <c r="A126" s="785">
        <v>11700</v>
      </c>
      <c r="B126" s="693" t="s">
        <v>14</v>
      </c>
      <c r="C126" s="693" t="s">
        <v>336</v>
      </c>
      <c r="D126" s="129" t="s">
        <v>1023</v>
      </c>
      <c r="E126" s="129"/>
      <c r="F126" s="129"/>
      <c r="G126" s="129"/>
      <c r="H126" s="129"/>
      <c r="I126" s="129"/>
      <c r="J126" s="129"/>
      <c r="K126" s="129"/>
      <c r="L126" s="129"/>
      <c r="M126" s="129"/>
      <c r="N126" s="129"/>
      <c r="O126" s="129"/>
      <c r="P126" s="129"/>
      <c r="Q126" s="693" t="s">
        <v>1748</v>
      </c>
      <c r="R126" s="693" t="s">
        <v>1749</v>
      </c>
      <c r="S126" s="695" t="s">
        <v>238</v>
      </c>
      <c r="T126" s="693" t="s">
        <v>94</v>
      </c>
      <c r="U126" s="693" t="s">
        <v>204</v>
      </c>
      <c r="V126" s="693" t="s">
        <v>204</v>
      </c>
      <c r="W126" s="695" t="s">
        <v>861</v>
      </c>
      <c r="X126" s="693" t="s">
        <v>617</v>
      </c>
      <c r="Y126" s="716" t="s">
        <v>408</v>
      </c>
      <c r="Z126" s="698">
        <v>1</v>
      </c>
      <c r="AA126" s="695" t="s">
        <v>849</v>
      </c>
      <c r="AB126" s="693" t="s">
        <v>370</v>
      </c>
      <c r="AC126" s="691">
        <v>0</v>
      </c>
      <c r="AD126" s="706">
        <v>1</v>
      </c>
      <c r="AE126" s="693" t="s">
        <v>17</v>
      </c>
      <c r="AF126" s="693" t="s">
        <v>23</v>
      </c>
      <c r="AG126" s="693" t="s">
        <v>204</v>
      </c>
      <c r="AH126" s="693" t="s">
        <v>638</v>
      </c>
      <c r="AI126" s="693" t="s">
        <v>78</v>
      </c>
      <c r="AJ126" s="693" t="s">
        <v>1287</v>
      </c>
      <c r="AK126" s="82" t="s">
        <v>425</v>
      </c>
      <c r="AL126" s="693" t="s">
        <v>42</v>
      </c>
      <c r="AM126" s="706">
        <v>1</v>
      </c>
      <c r="AN126" s="693" t="str">
        <f t="shared" si="211"/>
        <v>Evaluar bimensualmente un promedio de 30 respuestas a PQRSD y presentar recomendaciones a las dependencias competentes</v>
      </c>
      <c r="AO126" s="703">
        <f t="shared" si="212"/>
        <v>0</v>
      </c>
      <c r="AP126" s="700" t="s">
        <v>48</v>
      </c>
      <c r="AQ126" s="698">
        <v>0.25</v>
      </c>
      <c r="AR126" s="693" t="str">
        <f t="shared" si="213"/>
        <v>Evaluar bimensualmente un promedio de 30 respuestas a PQRSD y presentar recomendaciones a las dependencias competentes</v>
      </c>
      <c r="AS126" s="691">
        <v>0</v>
      </c>
      <c r="AT126" s="486">
        <v>0.25</v>
      </c>
      <c r="AU126" s="709">
        <v>0</v>
      </c>
      <c r="AV126" s="690">
        <f t="shared" si="214"/>
        <v>1</v>
      </c>
      <c r="AW126" s="690" t="e">
        <f t="shared" si="215"/>
        <v>#DIV/0!</v>
      </c>
      <c r="AX126" s="690">
        <f t="shared" si="216"/>
        <v>0.25</v>
      </c>
      <c r="AY126" s="690" t="e">
        <f t="shared" si="217"/>
        <v>#DIV/0!</v>
      </c>
      <c r="AZ126" s="490" t="s">
        <v>1347</v>
      </c>
      <c r="BA126" s="698">
        <v>0.25</v>
      </c>
      <c r="BB126" s="693" t="str">
        <f t="shared" si="218"/>
        <v>Evaluar bimensualmente un promedio de 30 respuestas a PQRSD y presentar recomendaciones a las dependencias competentes</v>
      </c>
      <c r="BC126" s="691">
        <v>0</v>
      </c>
      <c r="BD126" s="681">
        <f>30/30*0.25</f>
        <v>0.25</v>
      </c>
      <c r="BE126" s="691">
        <v>0</v>
      </c>
      <c r="BF126" s="690">
        <f t="shared" si="219"/>
        <v>1</v>
      </c>
      <c r="BG126" s="690" t="e">
        <f t="shared" si="220"/>
        <v>#DIV/0!</v>
      </c>
      <c r="BH126" s="690">
        <f t="shared" si="221"/>
        <v>0.5</v>
      </c>
      <c r="BI126" s="690" t="e">
        <f t="shared" si="222"/>
        <v>#DIV/0!</v>
      </c>
      <c r="BJ126" s="516" t="s">
        <v>1666</v>
      </c>
      <c r="BK126" s="698">
        <v>0.25</v>
      </c>
      <c r="BL126" s="693" t="str">
        <f t="shared" si="223"/>
        <v>Evaluar bimensualmente un promedio de 30 respuestas a PQRSD y presentar recomendaciones a las dependencias competentes</v>
      </c>
      <c r="BM126" s="691">
        <v>0</v>
      </c>
      <c r="BN126" s="695"/>
      <c r="BO126" s="695"/>
      <c r="BP126" s="690">
        <f t="shared" si="224"/>
        <v>0</v>
      </c>
      <c r="BQ126" s="690" t="e">
        <f t="shared" si="225"/>
        <v>#DIV/0!</v>
      </c>
      <c r="BR126" s="690">
        <f t="shared" si="226"/>
        <v>0.5</v>
      </c>
      <c r="BS126" s="690" t="e">
        <f t="shared" si="227"/>
        <v>#DIV/0!</v>
      </c>
      <c r="BT126" s="690"/>
      <c r="BU126" s="698">
        <v>0.25</v>
      </c>
      <c r="BV126" s="693" t="str">
        <f t="shared" si="228"/>
        <v>Evaluar bimensualmente un promedio de 30 respuestas a PQRSD y presentar recomendaciones a las dependencias competentes</v>
      </c>
      <c r="BW126" s="691">
        <v>0</v>
      </c>
      <c r="BX126" s="695"/>
      <c r="BY126" s="695"/>
      <c r="BZ126" s="698">
        <f t="shared" si="229"/>
        <v>0</v>
      </c>
      <c r="CA126" s="698" t="e">
        <f t="shared" si="230"/>
        <v>#DIV/0!</v>
      </c>
      <c r="CB126" s="698">
        <f t="shared" si="231"/>
        <v>0.5</v>
      </c>
      <c r="CC126" s="698" t="e">
        <f t="shared" si="232"/>
        <v>#DIV/0!</v>
      </c>
      <c r="CD126" s="698"/>
      <c r="CE126" s="697">
        <f t="shared" si="233"/>
        <v>1</v>
      </c>
      <c r="CF126" s="697" t="str">
        <f t="shared" si="234"/>
        <v>No Prog ni Ejec</v>
      </c>
      <c r="CG126" s="697">
        <f t="shared" si="235"/>
        <v>1</v>
      </c>
      <c r="CH126" s="697" t="str">
        <f t="shared" si="236"/>
        <v>No Prog ni Ejec</v>
      </c>
      <c r="CI126" s="697">
        <f t="shared" si="237"/>
        <v>0</v>
      </c>
      <c r="CJ126" s="697" t="str">
        <f t="shared" si="238"/>
        <v>No Prog ni Ejec</v>
      </c>
      <c r="CK126" s="697">
        <f t="shared" si="239"/>
        <v>0</v>
      </c>
      <c r="CL126" s="786" t="str">
        <f t="shared" si="240"/>
        <v>No Prog ni Ejec</v>
      </c>
      <c r="CM126" s="136">
        <f t="shared" si="133"/>
        <v>0</v>
      </c>
      <c r="CR126" s="125">
        <v>1</v>
      </c>
      <c r="CS126" s="125"/>
      <c r="CT126" s="125"/>
      <c r="CU126" s="125"/>
      <c r="CV126" s="125"/>
      <c r="CW126" s="125"/>
      <c r="CX126" s="125"/>
      <c r="CY126" s="125"/>
      <c r="CZ126" s="125"/>
      <c r="DA126" s="125"/>
      <c r="DB126" s="125"/>
      <c r="DC126" s="125"/>
    </row>
    <row r="127" spans="1:107" s="70" customFormat="1" ht="153" hidden="1" x14ac:dyDescent="0.2">
      <c r="A127" s="785">
        <v>11700</v>
      </c>
      <c r="B127" s="693" t="s">
        <v>14</v>
      </c>
      <c r="C127" s="693" t="s">
        <v>336</v>
      </c>
      <c r="D127" s="129" t="s">
        <v>1023</v>
      </c>
      <c r="E127" s="129"/>
      <c r="F127" s="129"/>
      <c r="G127" s="129"/>
      <c r="H127" s="129"/>
      <c r="I127" s="129"/>
      <c r="J127" s="129"/>
      <c r="K127" s="129"/>
      <c r="L127" s="129"/>
      <c r="M127" s="129"/>
      <c r="N127" s="129"/>
      <c r="O127" s="129"/>
      <c r="P127" s="129"/>
      <c r="Q127" s="693" t="s">
        <v>1748</v>
      </c>
      <c r="R127" s="693" t="s">
        <v>1751</v>
      </c>
      <c r="S127" s="695" t="s">
        <v>238</v>
      </c>
      <c r="T127" s="693" t="s">
        <v>94</v>
      </c>
      <c r="U127" s="693" t="s">
        <v>204</v>
      </c>
      <c r="V127" s="693" t="s">
        <v>204</v>
      </c>
      <c r="W127" s="695" t="s">
        <v>862</v>
      </c>
      <c r="X127" s="693" t="s">
        <v>365</v>
      </c>
      <c r="Y127" s="716" t="s">
        <v>408</v>
      </c>
      <c r="Z127" s="698">
        <v>0.9</v>
      </c>
      <c r="AA127" s="695" t="s">
        <v>850</v>
      </c>
      <c r="AB127" s="693" t="s">
        <v>430</v>
      </c>
      <c r="AC127" s="691">
        <v>0</v>
      </c>
      <c r="AD127" s="706">
        <v>1</v>
      </c>
      <c r="AE127" s="693" t="s">
        <v>17</v>
      </c>
      <c r="AF127" s="693" t="s">
        <v>23</v>
      </c>
      <c r="AG127" s="693" t="s">
        <v>204</v>
      </c>
      <c r="AH127" s="693" t="s">
        <v>638</v>
      </c>
      <c r="AI127" s="693" t="s">
        <v>78</v>
      </c>
      <c r="AJ127" s="693" t="s">
        <v>204</v>
      </c>
      <c r="AK127" s="82" t="s">
        <v>426</v>
      </c>
      <c r="AL127" s="693" t="s">
        <v>42</v>
      </c>
      <c r="AM127" s="706">
        <v>0.9</v>
      </c>
      <c r="AN127" s="693" t="str">
        <f t="shared" si="211"/>
        <v>Realizar los informes trimestrales de satisfacción a los servicios prestados por la entidad por el canal presencial y presentar las recomendaciones a las áreas de la entidad.</v>
      </c>
      <c r="AO127" s="703">
        <f t="shared" si="212"/>
        <v>0</v>
      </c>
      <c r="AP127" s="700" t="s">
        <v>48</v>
      </c>
      <c r="AQ127" s="97">
        <v>0.22500000000000001</v>
      </c>
      <c r="AR127" s="693" t="str">
        <f t="shared" si="213"/>
        <v>Realizar los informes trimestrales de satisfacción a los servicios prestados por la entidad por el canal presencial y presentar las recomendaciones a las áreas de la entidad.</v>
      </c>
      <c r="AS127" s="691">
        <v>0</v>
      </c>
      <c r="AT127" s="498">
        <v>0.22500000000000001</v>
      </c>
      <c r="AU127" s="709">
        <v>0</v>
      </c>
      <c r="AV127" s="690">
        <f t="shared" si="214"/>
        <v>1</v>
      </c>
      <c r="AW127" s="690" t="e">
        <f t="shared" si="215"/>
        <v>#DIV/0!</v>
      </c>
      <c r="AX127" s="690">
        <f t="shared" si="216"/>
        <v>0.25</v>
      </c>
      <c r="AY127" s="690" t="e">
        <f t="shared" si="217"/>
        <v>#DIV/0!</v>
      </c>
      <c r="AZ127" s="490" t="s">
        <v>1348</v>
      </c>
      <c r="BA127" s="97">
        <v>0.22500000000000001</v>
      </c>
      <c r="BB127" s="693" t="str">
        <f t="shared" si="218"/>
        <v>Realizar los informes trimestrales de satisfacción a los servicios prestados por la entidad por el canal presencial y presentar las recomendaciones a las áreas de la entidad.</v>
      </c>
      <c r="BC127" s="691">
        <v>0</v>
      </c>
      <c r="BD127" s="682">
        <f>413/476*0.225</f>
        <v>0.19522058823529412</v>
      </c>
      <c r="BE127" s="691">
        <v>0</v>
      </c>
      <c r="BF127" s="690">
        <f t="shared" si="219"/>
        <v>0.86764705882352944</v>
      </c>
      <c r="BG127" s="690" t="e">
        <f t="shared" si="220"/>
        <v>#DIV/0!</v>
      </c>
      <c r="BH127" s="690">
        <f t="shared" si="221"/>
        <v>0.46691176470588236</v>
      </c>
      <c r="BI127" s="690" t="e">
        <f t="shared" si="222"/>
        <v>#DIV/0!</v>
      </c>
      <c r="BJ127" s="516" t="s">
        <v>1667</v>
      </c>
      <c r="BK127" s="97">
        <v>0.22500000000000001</v>
      </c>
      <c r="BL127" s="693" t="str">
        <f t="shared" si="223"/>
        <v>Realizar los informes trimestrales de satisfacción a los servicios prestados por la entidad por el canal presencial y presentar las recomendaciones a las áreas de la entidad.</v>
      </c>
      <c r="BM127" s="691">
        <v>0</v>
      </c>
      <c r="BN127" s="695"/>
      <c r="BO127" s="695"/>
      <c r="BP127" s="690">
        <f t="shared" si="224"/>
        <v>0</v>
      </c>
      <c r="BQ127" s="690" t="e">
        <f t="shared" si="225"/>
        <v>#DIV/0!</v>
      </c>
      <c r="BR127" s="690">
        <f t="shared" si="226"/>
        <v>0.46691176470588236</v>
      </c>
      <c r="BS127" s="690" t="e">
        <f t="shared" si="227"/>
        <v>#DIV/0!</v>
      </c>
      <c r="BT127" s="690"/>
      <c r="BU127" s="97">
        <v>0.22500000000000001</v>
      </c>
      <c r="BV127" s="693" t="str">
        <f t="shared" si="228"/>
        <v>Realizar los informes trimestrales de satisfacción a los servicios prestados por la entidad por el canal presencial y presentar las recomendaciones a las áreas de la entidad.</v>
      </c>
      <c r="BW127" s="691">
        <v>0</v>
      </c>
      <c r="BX127" s="695"/>
      <c r="BY127" s="695"/>
      <c r="BZ127" s="698">
        <f t="shared" si="229"/>
        <v>0</v>
      </c>
      <c r="CA127" s="698" t="e">
        <f t="shared" si="230"/>
        <v>#DIV/0!</v>
      </c>
      <c r="CB127" s="698">
        <f t="shared" si="231"/>
        <v>0.46691176470588236</v>
      </c>
      <c r="CC127" s="698" t="e">
        <f t="shared" si="232"/>
        <v>#DIV/0!</v>
      </c>
      <c r="CD127" s="698"/>
      <c r="CE127" s="697">
        <f t="shared" si="233"/>
        <v>1</v>
      </c>
      <c r="CF127" s="697" t="str">
        <f t="shared" si="234"/>
        <v>No Prog ni Ejec</v>
      </c>
      <c r="CG127" s="697">
        <f t="shared" si="235"/>
        <v>0.86764705882352944</v>
      </c>
      <c r="CH127" s="697" t="str">
        <f t="shared" si="236"/>
        <v>No Prog ni Ejec</v>
      </c>
      <c r="CI127" s="697">
        <f t="shared" si="237"/>
        <v>0</v>
      </c>
      <c r="CJ127" s="697" t="str">
        <f t="shared" si="238"/>
        <v>No Prog ni Ejec</v>
      </c>
      <c r="CK127" s="697">
        <f t="shared" si="239"/>
        <v>0</v>
      </c>
      <c r="CL127" s="786" t="str">
        <f t="shared" si="240"/>
        <v>No Prog ni Ejec</v>
      </c>
      <c r="CM127" s="136">
        <f t="shared" si="133"/>
        <v>0</v>
      </c>
      <c r="CR127" s="125">
        <v>1</v>
      </c>
      <c r="CS127" s="125"/>
      <c r="CT127" s="125"/>
      <c r="CU127" s="125"/>
      <c r="CV127" s="125"/>
      <c r="CW127" s="125"/>
      <c r="CX127" s="125"/>
      <c r="CY127" s="125"/>
      <c r="CZ127" s="125"/>
      <c r="DA127" s="125"/>
      <c r="DB127" s="125"/>
      <c r="DC127" s="125"/>
    </row>
    <row r="128" spans="1:107" s="70" customFormat="1" ht="127.5" hidden="1" x14ac:dyDescent="0.2">
      <c r="A128" s="785">
        <v>11700</v>
      </c>
      <c r="B128" s="693" t="s">
        <v>14</v>
      </c>
      <c r="C128" s="693" t="s">
        <v>336</v>
      </c>
      <c r="D128" s="129" t="s">
        <v>1023</v>
      </c>
      <c r="E128" s="129"/>
      <c r="F128" s="129"/>
      <c r="G128" s="129"/>
      <c r="H128" s="129"/>
      <c r="I128" s="129"/>
      <c r="J128" s="129"/>
      <c r="K128" s="129"/>
      <c r="L128" s="129"/>
      <c r="M128" s="129"/>
      <c r="N128" s="129"/>
      <c r="O128" s="129"/>
      <c r="P128" s="129"/>
      <c r="Q128" s="693" t="s">
        <v>1748</v>
      </c>
      <c r="R128" s="693" t="s">
        <v>1753</v>
      </c>
      <c r="S128" s="695" t="s">
        <v>238</v>
      </c>
      <c r="T128" s="693" t="s">
        <v>94</v>
      </c>
      <c r="U128" s="693" t="s">
        <v>204</v>
      </c>
      <c r="V128" s="693" t="s">
        <v>204</v>
      </c>
      <c r="W128" s="695" t="s">
        <v>863</v>
      </c>
      <c r="X128" s="693" t="s">
        <v>488</v>
      </c>
      <c r="Y128" s="716" t="s">
        <v>51</v>
      </c>
      <c r="Z128" s="698">
        <v>1</v>
      </c>
      <c r="AA128" s="695" t="s">
        <v>851</v>
      </c>
      <c r="AB128" s="693" t="s">
        <v>366</v>
      </c>
      <c r="AC128" s="691">
        <v>0</v>
      </c>
      <c r="AD128" s="706">
        <v>1</v>
      </c>
      <c r="AE128" s="693" t="s">
        <v>17</v>
      </c>
      <c r="AF128" s="693" t="s">
        <v>23</v>
      </c>
      <c r="AG128" s="693" t="s">
        <v>204</v>
      </c>
      <c r="AH128" s="693" t="s">
        <v>638</v>
      </c>
      <c r="AI128" s="693" t="s">
        <v>78</v>
      </c>
      <c r="AJ128" s="693" t="s">
        <v>1278</v>
      </c>
      <c r="AK128" s="82" t="s">
        <v>489</v>
      </c>
      <c r="AL128" s="693" t="s">
        <v>42</v>
      </c>
      <c r="AM128" s="706">
        <v>1</v>
      </c>
      <c r="AN128" s="693" t="str">
        <f t="shared" si="211"/>
        <v>Implementar las recomendaciones generadas por CIDCCA bajo ajustes razonables al punto de Atención al Ciudadano y Correspondencia</v>
      </c>
      <c r="AO128" s="703">
        <f t="shared" si="212"/>
        <v>0</v>
      </c>
      <c r="AP128" s="700" t="s">
        <v>48</v>
      </c>
      <c r="AQ128" s="698">
        <v>0</v>
      </c>
      <c r="AR128" s="693" t="str">
        <f t="shared" si="213"/>
        <v>Implementar las recomendaciones generadas por CIDCCA bajo ajustes razonables al punto de Atención al Ciudadano y Correspondencia</v>
      </c>
      <c r="AS128" s="691">
        <v>0</v>
      </c>
      <c r="AT128" s="491">
        <v>0</v>
      </c>
      <c r="AU128" s="709">
        <v>0</v>
      </c>
      <c r="AV128" s="690" t="e">
        <f t="shared" si="214"/>
        <v>#DIV/0!</v>
      </c>
      <c r="AW128" s="690" t="e">
        <f t="shared" si="215"/>
        <v>#DIV/0!</v>
      </c>
      <c r="AX128" s="690">
        <f t="shared" si="216"/>
        <v>0</v>
      </c>
      <c r="AY128" s="690" t="e">
        <f t="shared" si="217"/>
        <v>#DIV/0!</v>
      </c>
      <c r="AZ128" s="522" t="s">
        <v>1343</v>
      </c>
      <c r="BA128" s="698">
        <v>0</v>
      </c>
      <c r="BB128" s="693" t="str">
        <f t="shared" si="218"/>
        <v>Implementar las recomendaciones generadas por CIDCCA bajo ajustes razonables al punto de Atención al Ciudadano y Correspondencia</v>
      </c>
      <c r="BC128" s="691">
        <v>0</v>
      </c>
      <c r="BD128" s="857">
        <v>0</v>
      </c>
      <c r="BE128" s="691">
        <v>0</v>
      </c>
      <c r="BF128" s="690" t="e">
        <f t="shared" si="219"/>
        <v>#DIV/0!</v>
      </c>
      <c r="BG128" s="690" t="e">
        <f t="shared" si="220"/>
        <v>#DIV/0!</v>
      </c>
      <c r="BH128" s="690">
        <f t="shared" si="221"/>
        <v>0</v>
      </c>
      <c r="BI128" s="690" t="e">
        <f t="shared" si="222"/>
        <v>#DIV/0!</v>
      </c>
      <c r="BJ128" s="512" t="s">
        <v>1343</v>
      </c>
      <c r="BK128" s="698">
        <v>0.5</v>
      </c>
      <c r="BL128" s="693" t="str">
        <f t="shared" si="223"/>
        <v>Implementar las recomendaciones generadas por CIDCCA bajo ajustes razonables al punto de Atención al Ciudadano y Correspondencia</v>
      </c>
      <c r="BM128" s="691">
        <v>0</v>
      </c>
      <c r="BN128" s="695"/>
      <c r="BO128" s="695"/>
      <c r="BP128" s="690">
        <f t="shared" si="224"/>
        <v>0</v>
      </c>
      <c r="BQ128" s="690" t="e">
        <f t="shared" si="225"/>
        <v>#DIV/0!</v>
      </c>
      <c r="BR128" s="690">
        <f t="shared" si="226"/>
        <v>0</v>
      </c>
      <c r="BS128" s="690" t="e">
        <f t="shared" si="227"/>
        <v>#DIV/0!</v>
      </c>
      <c r="BT128" s="690"/>
      <c r="BU128" s="698">
        <v>0.5</v>
      </c>
      <c r="BV128" s="693" t="str">
        <f t="shared" si="228"/>
        <v>Implementar las recomendaciones generadas por CIDCCA bajo ajustes razonables al punto de Atención al Ciudadano y Correspondencia</v>
      </c>
      <c r="BW128" s="691">
        <v>0</v>
      </c>
      <c r="BX128" s="695"/>
      <c r="BY128" s="695"/>
      <c r="BZ128" s="698">
        <f t="shared" si="229"/>
        <v>0</v>
      </c>
      <c r="CA128" s="698" t="e">
        <f t="shared" si="230"/>
        <v>#DIV/0!</v>
      </c>
      <c r="CB128" s="698">
        <f t="shared" si="231"/>
        <v>0</v>
      </c>
      <c r="CC128" s="698" t="e">
        <f t="shared" si="232"/>
        <v>#DIV/0!</v>
      </c>
      <c r="CD128" s="698"/>
      <c r="CE128" s="697" t="str">
        <f t="shared" si="233"/>
        <v>No Prog ni Ejec</v>
      </c>
      <c r="CF128" s="697" t="str">
        <f t="shared" si="234"/>
        <v>No Prog ni Ejec</v>
      </c>
      <c r="CG128" s="697" t="str">
        <f t="shared" si="235"/>
        <v>No Prog ni Ejec</v>
      </c>
      <c r="CH128" s="697" t="str">
        <f t="shared" si="236"/>
        <v>No Prog ni Ejec</v>
      </c>
      <c r="CI128" s="697">
        <f t="shared" si="237"/>
        <v>0</v>
      </c>
      <c r="CJ128" s="697" t="str">
        <f t="shared" si="238"/>
        <v>No Prog ni Ejec</v>
      </c>
      <c r="CK128" s="697">
        <f t="shared" si="239"/>
        <v>0</v>
      </c>
      <c r="CL128" s="786" t="str">
        <f t="shared" si="240"/>
        <v>No Prog ni Ejec</v>
      </c>
      <c r="CM128" s="136">
        <f t="shared" si="133"/>
        <v>0</v>
      </c>
      <c r="CR128" s="125">
        <v>1</v>
      </c>
      <c r="CS128" s="125"/>
      <c r="CT128" s="125"/>
      <c r="CU128" s="125"/>
      <c r="CV128" s="125"/>
      <c r="CW128" s="125"/>
      <c r="CX128" s="125"/>
      <c r="CY128" s="125"/>
      <c r="CZ128" s="125"/>
      <c r="DA128" s="125"/>
      <c r="DB128" s="125"/>
      <c r="DC128" s="125"/>
    </row>
    <row r="129" spans="1:107" s="70" customFormat="1" ht="116.25" hidden="1" customHeight="1" x14ac:dyDescent="0.2">
      <c r="A129" s="785">
        <v>11700</v>
      </c>
      <c r="B129" s="693" t="s">
        <v>14</v>
      </c>
      <c r="C129" s="693" t="s">
        <v>336</v>
      </c>
      <c r="D129" s="129" t="s">
        <v>1023</v>
      </c>
      <c r="E129" s="129"/>
      <c r="F129" s="129"/>
      <c r="G129" s="129"/>
      <c r="H129" s="129"/>
      <c r="I129" s="129"/>
      <c r="J129" s="129"/>
      <c r="K129" s="129"/>
      <c r="L129" s="129"/>
      <c r="M129" s="129"/>
      <c r="N129" s="129"/>
      <c r="O129" s="129"/>
      <c r="P129" s="129"/>
      <c r="Q129" s="693" t="s">
        <v>1137</v>
      </c>
      <c r="R129" s="693" t="s">
        <v>1143</v>
      </c>
      <c r="S129" s="695" t="s">
        <v>238</v>
      </c>
      <c r="T129" s="693" t="s">
        <v>94</v>
      </c>
      <c r="U129" s="693" t="s">
        <v>204</v>
      </c>
      <c r="V129" s="693" t="s">
        <v>204</v>
      </c>
      <c r="W129" s="695" t="s">
        <v>873</v>
      </c>
      <c r="X129" s="693" t="s">
        <v>486</v>
      </c>
      <c r="Y129" s="716" t="s">
        <v>51</v>
      </c>
      <c r="Z129" s="698">
        <v>1</v>
      </c>
      <c r="AA129" s="695" t="s">
        <v>864</v>
      </c>
      <c r="AB129" s="693" t="s">
        <v>371</v>
      </c>
      <c r="AC129" s="691">
        <v>0</v>
      </c>
      <c r="AD129" s="706">
        <v>1</v>
      </c>
      <c r="AE129" s="693" t="s">
        <v>17</v>
      </c>
      <c r="AF129" s="693" t="s">
        <v>23</v>
      </c>
      <c r="AG129" s="693" t="s">
        <v>204</v>
      </c>
      <c r="AH129" s="693" t="s">
        <v>638</v>
      </c>
      <c r="AI129" s="693" t="s">
        <v>78</v>
      </c>
      <c r="AJ129" s="693" t="s">
        <v>1278</v>
      </c>
      <c r="AK129" s="82" t="s">
        <v>487</v>
      </c>
      <c r="AL129" s="693" t="s">
        <v>42</v>
      </c>
      <c r="AM129" s="706">
        <v>1</v>
      </c>
      <c r="AN129" s="693" t="str">
        <f t="shared" si="211"/>
        <v>Participar en la Ferias del Servicio al Ciudadano del PNSC en las que la entidad decida asistir</v>
      </c>
      <c r="AO129" s="703">
        <f t="shared" si="212"/>
        <v>0</v>
      </c>
      <c r="AP129" s="700" t="s">
        <v>48</v>
      </c>
      <c r="AQ129" s="698">
        <v>0</v>
      </c>
      <c r="AR129" s="693" t="str">
        <f t="shared" si="213"/>
        <v>Participar en la Ferias del Servicio al Ciudadano del PNSC en las que la entidad decida asistir</v>
      </c>
      <c r="AS129" s="691">
        <v>0</v>
      </c>
      <c r="AT129" s="491">
        <v>0</v>
      </c>
      <c r="AU129" s="709">
        <v>0</v>
      </c>
      <c r="AV129" s="690" t="e">
        <f t="shared" si="214"/>
        <v>#DIV/0!</v>
      </c>
      <c r="AW129" s="690" t="e">
        <f t="shared" si="215"/>
        <v>#DIV/0!</v>
      </c>
      <c r="AX129" s="690">
        <f t="shared" si="216"/>
        <v>0</v>
      </c>
      <c r="AY129" s="690" t="e">
        <f t="shared" si="217"/>
        <v>#DIV/0!</v>
      </c>
      <c r="AZ129" s="522" t="s">
        <v>1343</v>
      </c>
      <c r="BA129" s="698">
        <v>0.33</v>
      </c>
      <c r="BB129" s="693" t="str">
        <f t="shared" si="218"/>
        <v>Participar en la Ferias del Servicio al Ciudadano del PNSC en las que la entidad decida asistir</v>
      </c>
      <c r="BC129" s="691">
        <v>0</v>
      </c>
      <c r="BD129" s="857">
        <v>0</v>
      </c>
      <c r="BE129" s="691">
        <v>0</v>
      </c>
      <c r="BF129" s="690">
        <f t="shared" si="219"/>
        <v>0</v>
      </c>
      <c r="BG129" s="690" t="e">
        <f t="shared" si="220"/>
        <v>#DIV/0!</v>
      </c>
      <c r="BH129" s="690">
        <f t="shared" si="221"/>
        <v>0</v>
      </c>
      <c r="BI129" s="690" t="e">
        <f t="shared" si="222"/>
        <v>#DIV/0!</v>
      </c>
      <c r="BJ129" s="516" t="s">
        <v>1668</v>
      </c>
      <c r="BK129" s="698">
        <v>0.33</v>
      </c>
      <c r="BL129" s="693" t="str">
        <f t="shared" si="223"/>
        <v>Participar en la Ferias del Servicio al Ciudadano del PNSC en las que la entidad decida asistir</v>
      </c>
      <c r="BM129" s="691">
        <v>0</v>
      </c>
      <c r="BN129" s="695"/>
      <c r="BO129" s="695"/>
      <c r="BP129" s="690">
        <f t="shared" si="224"/>
        <v>0</v>
      </c>
      <c r="BQ129" s="690" t="e">
        <f t="shared" si="225"/>
        <v>#DIV/0!</v>
      </c>
      <c r="BR129" s="690">
        <f t="shared" si="226"/>
        <v>0</v>
      </c>
      <c r="BS129" s="690" t="e">
        <f t="shared" si="227"/>
        <v>#DIV/0!</v>
      </c>
      <c r="BT129" s="690"/>
      <c r="BU129" s="698">
        <v>0.33</v>
      </c>
      <c r="BV129" s="693" t="str">
        <f t="shared" si="228"/>
        <v>Participar en la Ferias del Servicio al Ciudadano del PNSC en las que la entidad decida asistir</v>
      </c>
      <c r="BW129" s="691">
        <v>0</v>
      </c>
      <c r="BX129" s="695"/>
      <c r="BY129" s="695"/>
      <c r="BZ129" s="698">
        <f t="shared" si="229"/>
        <v>0</v>
      </c>
      <c r="CA129" s="698" t="e">
        <f t="shared" si="230"/>
        <v>#DIV/0!</v>
      </c>
      <c r="CB129" s="698">
        <f t="shared" si="231"/>
        <v>0</v>
      </c>
      <c r="CC129" s="698" t="e">
        <f t="shared" si="232"/>
        <v>#DIV/0!</v>
      </c>
      <c r="CD129" s="698"/>
      <c r="CE129" s="697" t="str">
        <f t="shared" si="233"/>
        <v>No Prog ni Ejec</v>
      </c>
      <c r="CF129" s="697" t="str">
        <f t="shared" si="234"/>
        <v>No Prog ni Ejec</v>
      </c>
      <c r="CG129" s="697">
        <f t="shared" si="235"/>
        <v>0</v>
      </c>
      <c r="CH129" s="697" t="str">
        <f t="shared" si="236"/>
        <v>No Prog ni Ejec</v>
      </c>
      <c r="CI129" s="697">
        <f t="shared" si="237"/>
        <v>0</v>
      </c>
      <c r="CJ129" s="697" t="str">
        <f t="shared" si="238"/>
        <v>No Prog ni Ejec</v>
      </c>
      <c r="CK129" s="697">
        <f t="shared" si="239"/>
        <v>0</v>
      </c>
      <c r="CL129" s="786" t="str">
        <f t="shared" si="240"/>
        <v>No Prog ni Ejec</v>
      </c>
      <c r="CM129" s="136">
        <f t="shared" si="133"/>
        <v>0</v>
      </c>
      <c r="CR129" s="125">
        <v>1</v>
      </c>
      <c r="CS129" s="125"/>
      <c r="CT129" s="125"/>
      <c r="CU129" s="125"/>
      <c r="CV129" s="125"/>
      <c r="CW129" s="125"/>
      <c r="CX129" s="125"/>
      <c r="CY129" s="125"/>
      <c r="CZ129" s="125"/>
      <c r="DA129" s="125"/>
      <c r="DB129" s="125"/>
      <c r="DC129" s="125"/>
    </row>
    <row r="130" spans="1:107" s="70" customFormat="1" ht="154.5" hidden="1" customHeight="1" x14ac:dyDescent="0.2">
      <c r="A130" s="785">
        <v>11700</v>
      </c>
      <c r="B130" s="693" t="s">
        <v>14</v>
      </c>
      <c r="C130" s="693" t="s">
        <v>336</v>
      </c>
      <c r="D130" s="129" t="s">
        <v>1023</v>
      </c>
      <c r="E130" s="129"/>
      <c r="F130" s="129"/>
      <c r="G130" s="129"/>
      <c r="H130" s="129"/>
      <c r="I130" s="129"/>
      <c r="J130" s="129"/>
      <c r="K130" s="129"/>
      <c r="L130" s="129"/>
      <c r="M130" s="129"/>
      <c r="N130" s="129"/>
      <c r="O130" s="129"/>
      <c r="P130" s="129"/>
      <c r="Q130" s="693" t="s">
        <v>1748</v>
      </c>
      <c r="R130" s="693" t="s">
        <v>1756</v>
      </c>
      <c r="S130" s="695" t="s">
        <v>238</v>
      </c>
      <c r="T130" s="693" t="s">
        <v>94</v>
      </c>
      <c r="U130" s="693" t="s">
        <v>204</v>
      </c>
      <c r="V130" s="693" t="s">
        <v>204</v>
      </c>
      <c r="W130" s="695" t="s">
        <v>874</v>
      </c>
      <c r="X130" s="693" t="s">
        <v>367</v>
      </c>
      <c r="Y130" s="716" t="s">
        <v>408</v>
      </c>
      <c r="Z130" s="695">
        <v>2</v>
      </c>
      <c r="AA130" s="695" t="s">
        <v>865</v>
      </c>
      <c r="AB130" s="693" t="s">
        <v>372</v>
      </c>
      <c r="AC130" s="691">
        <v>0</v>
      </c>
      <c r="AD130" s="706">
        <v>1</v>
      </c>
      <c r="AE130" s="693" t="s">
        <v>17</v>
      </c>
      <c r="AF130" s="693" t="s">
        <v>23</v>
      </c>
      <c r="AG130" s="693" t="s">
        <v>204</v>
      </c>
      <c r="AH130" s="693" t="s">
        <v>638</v>
      </c>
      <c r="AI130" s="693" t="s">
        <v>78</v>
      </c>
      <c r="AJ130" s="693" t="s">
        <v>1287</v>
      </c>
      <c r="AK130" s="82" t="s">
        <v>374</v>
      </c>
      <c r="AL130" s="693" t="s">
        <v>42</v>
      </c>
      <c r="AM130" s="695">
        <v>2</v>
      </c>
      <c r="AN130" s="693" t="str">
        <f t="shared" si="211"/>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30" s="703">
        <f t="shared" si="212"/>
        <v>0</v>
      </c>
      <c r="AP130" s="700" t="s">
        <v>48</v>
      </c>
      <c r="AQ130" s="695">
        <v>1</v>
      </c>
      <c r="AR130" s="693" t="str">
        <f t="shared" si="213"/>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30" s="691">
        <v>0</v>
      </c>
      <c r="AT130" s="491">
        <v>1</v>
      </c>
      <c r="AU130" s="709">
        <v>0</v>
      </c>
      <c r="AV130" s="690">
        <f t="shared" si="214"/>
        <v>1</v>
      </c>
      <c r="AW130" s="690" t="e">
        <f t="shared" si="215"/>
        <v>#DIV/0!</v>
      </c>
      <c r="AX130" s="690">
        <f t="shared" si="216"/>
        <v>0.5</v>
      </c>
      <c r="AY130" s="690" t="e">
        <f t="shared" si="217"/>
        <v>#DIV/0!</v>
      </c>
      <c r="AZ130" s="490" t="s">
        <v>1349</v>
      </c>
      <c r="BA130" s="695">
        <v>0</v>
      </c>
      <c r="BB130" s="693" t="str">
        <f t="shared" si="218"/>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30" s="691">
        <v>0</v>
      </c>
      <c r="BD130" s="129">
        <v>0</v>
      </c>
      <c r="BE130" s="691">
        <v>0</v>
      </c>
      <c r="BF130" s="690" t="e">
        <f t="shared" si="219"/>
        <v>#DIV/0!</v>
      </c>
      <c r="BG130" s="690" t="e">
        <f t="shared" si="220"/>
        <v>#DIV/0!</v>
      </c>
      <c r="BH130" s="690">
        <f t="shared" si="221"/>
        <v>0.5</v>
      </c>
      <c r="BI130" s="690" t="e">
        <f t="shared" si="222"/>
        <v>#DIV/0!</v>
      </c>
      <c r="BJ130" s="516" t="s">
        <v>1669</v>
      </c>
      <c r="BK130" s="695">
        <v>1</v>
      </c>
      <c r="BL130" s="693" t="str">
        <f t="shared" si="223"/>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30" s="691">
        <v>0</v>
      </c>
      <c r="BN130" s="695"/>
      <c r="BO130" s="695"/>
      <c r="BP130" s="690">
        <f t="shared" si="224"/>
        <v>0</v>
      </c>
      <c r="BQ130" s="690" t="e">
        <f t="shared" si="225"/>
        <v>#DIV/0!</v>
      </c>
      <c r="BR130" s="690">
        <f t="shared" si="226"/>
        <v>0.5</v>
      </c>
      <c r="BS130" s="690" t="e">
        <f t="shared" si="227"/>
        <v>#DIV/0!</v>
      </c>
      <c r="BT130" s="690"/>
      <c r="BU130" s="695">
        <v>0</v>
      </c>
      <c r="BV130" s="693" t="str">
        <f t="shared" si="228"/>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30" s="691">
        <v>0</v>
      </c>
      <c r="BX130" s="695"/>
      <c r="BY130" s="695"/>
      <c r="BZ130" s="698" t="e">
        <f t="shared" si="229"/>
        <v>#DIV/0!</v>
      </c>
      <c r="CA130" s="698" t="e">
        <f t="shared" si="230"/>
        <v>#DIV/0!</v>
      </c>
      <c r="CB130" s="698">
        <f t="shared" si="231"/>
        <v>0.5</v>
      </c>
      <c r="CC130" s="698" t="e">
        <f t="shared" si="232"/>
        <v>#DIV/0!</v>
      </c>
      <c r="CD130" s="698"/>
      <c r="CE130" s="697">
        <f t="shared" si="233"/>
        <v>1</v>
      </c>
      <c r="CF130" s="697" t="str">
        <f t="shared" si="234"/>
        <v>No Prog ni Ejec</v>
      </c>
      <c r="CG130" s="697" t="str">
        <f t="shared" si="235"/>
        <v>No Prog ni Ejec</v>
      </c>
      <c r="CH130" s="697" t="str">
        <f t="shared" si="236"/>
        <v>No Prog ni Ejec</v>
      </c>
      <c r="CI130" s="697">
        <f t="shared" si="237"/>
        <v>0</v>
      </c>
      <c r="CJ130" s="697" t="str">
        <f t="shared" si="238"/>
        <v>No Prog ni Ejec</v>
      </c>
      <c r="CK130" s="697" t="str">
        <f t="shared" si="239"/>
        <v>No Prog ni Ejec</v>
      </c>
      <c r="CL130" s="786" t="str">
        <f t="shared" si="240"/>
        <v>No Prog ni Ejec</v>
      </c>
      <c r="CM130" s="136">
        <f t="shared" si="133"/>
        <v>0</v>
      </c>
      <c r="CR130" s="125">
        <v>1</v>
      </c>
      <c r="CS130" s="125"/>
      <c r="CT130" s="125"/>
      <c r="CU130" s="125"/>
      <c r="CV130" s="125"/>
      <c r="CW130" s="125"/>
      <c r="CX130" s="125"/>
      <c r="CY130" s="125"/>
      <c r="CZ130" s="125"/>
      <c r="DA130" s="125"/>
      <c r="DB130" s="125"/>
      <c r="DC130" s="125"/>
    </row>
    <row r="131" spans="1:107" s="70" customFormat="1" ht="111.75" hidden="1" customHeight="1" x14ac:dyDescent="0.2">
      <c r="A131" s="785">
        <v>11700</v>
      </c>
      <c r="B131" s="693" t="s">
        <v>14</v>
      </c>
      <c r="C131" s="693" t="s">
        <v>336</v>
      </c>
      <c r="D131" s="129" t="s">
        <v>1023</v>
      </c>
      <c r="E131" s="129"/>
      <c r="F131" s="129"/>
      <c r="G131" s="129"/>
      <c r="H131" s="129"/>
      <c r="I131" s="129"/>
      <c r="J131" s="129"/>
      <c r="K131" s="129"/>
      <c r="L131" s="129"/>
      <c r="M131" s="129"/>
      <c r="N131" s="129"/>
      <c r="O131" s="129"/>
      <c r="P131" s="129"/>
      <c r="Q131" s="693" t="s">
        <v>1748</v>
      </c>
      <c r="R131" s="693" t="s">
        <v>1752</v>
      </c>
      <c r="S131" s="695" t="s">
        <v>238</v>
      </c>
      <c r="T131" s="693" t="s">
        <v>94</v>
      </c>
      <c r="U131" s="693" t="s">
        <v>204</v>
      </c>
      <c r="V131" s="693" t="s">
        <v>204</v>
      </c>
      <c r="W131" s="695" t="s">
        <v>875</v>
      </c>
      <c r="X131" s="693" t="s">
        <v>368</v>
      </c>
      <c r="Y131" s="716" t="s">
        <v>408</v>
      </c>
      <c r="Z131" s="695">
        <v>4</v>
      </c>
      <c r="AA131" s="695" t="s">
        <v>866</v>
      </c>
      <c r="AB131" s="693" t="s">
        <v>373</v>
      </c>
      <c r="AC131" s="691">
        <v>0</v>
      </c>
      <c r="AD131" s="706">
        <v>1</v>
      </c>
      <c r="AE131" s="693" t="s">
        <v>17</v>
      </c>
      <c r="AF131" s="693" t="s">
        <v>23</v>
      </c>
      <c r="AG131" s="693" t="s">
        <v>204</v>
      </c>
      <c r="AH131" s="693" t="s">
        <v>638</v>
      </c>
      <c r="AI131" s="693" t="s">
        <v>78</v>
      </c>
      <c r="AJ131" s="693" t="s">
        <v>1287</v>
      </c>
      <c r="AK131" s="82" t="s">
        <v>427</v>
      </c>
      <c r="AL131" s="693" t="s">
        <v>42</v>
      </c>
      <c r="AM131" s="695">
        <v>4</v>
      </c>
      <c r="AN131" s="693" t="str">
        <f t="shared" si="211"/>
        <v>Informes trimestrales de PQRS presentado a la OCI de la Entidad</v>
      </c>
      <c r="AO131" s="703">
        <f t="shared" si="212"/>
        <v>0</v>
      </c>
      <c r="AP131" s="700" t="s">
        <v>48</v>
      </c>
      <c r="AQ131" s="695">
        <v>1</v>
      </c>
      <c r="AR131" s="693" t="str">
        <f t="shared" si="213"/>
        <v>Informes trimestrales de PQRS presentado a la OCI de la Entidad</v>
      </c>
      <c r="AS131" s="691">
        <v>0</v>
      </c>
      <c r="AT131" s="491">
        <v>1</v>
      </c>
      <c r="AU131" s="709">
        <v>0</v>
      </c>
      <c r="AV131" s="690">
        <f t="shared" si="214"/>
        <v>1</v>
      </c>
      <c r="AW131" s="690" t="e">
        <f t="shared" si="215"/>
        <v>#DIV/0!</v>
      </c>
      <c r="AX131" s="690">
        <f t="shared" si="216"/>
        <v>0.25</v>
      </c>
      <c r="AY131" s="690" t="e">
        <f t="shared" si="217"/>
        <v>#DIV/0!</v>
      </c>
      <c r="AZ131" s="490" t="s">
        <v>1350</v>
      </c>
      <c r="BA131" s="695">
        <v>1</v>
      </c>
      <c r="BB131" s="693" t="str">
        <f t="shared" si="218"/>
        <v>Informes trimestrales de PQRS presentado a la OCI de la Entidad</v>
      </c>
      <c r="BC131" s="691">
        <v>0</v>
      </c>
      <c r="BD131" s="129">
        <v>1</v>
      </c>
      <c r="BE131" s="691">
        <v>0</v>
      </c>
      <c r="BF131" s="690">
        <f t="shared" si="219"/>
        <v>1</v>
      </c>
      <c r="BG131" s="690" t="e">
        <f t="shared" si="220"/>
        <v>#DIV/0!</v>
      </c>
      <c r="BH131" s="690">
        <f t="shared" si="221"/>
        <v>0.5</v>
      </c>
      <c r="BI131" s="690" t="e">
        <f t="shared" si="222"/>
        <v>#DIV/0!</v>
      </c>
      <c r="BJ131" s="516" t="s">
        <v>1670</v>
      </c>
      <c r="BK131" s="695">
        <v>1</v>
      </c>
      <c r="BL131" s="693" t="str">
        <f t="shared" si="223"/>
        <v>Informes trimestrales de PQRS presentado a la OCI de la Entidad</v>
      </c>
      <c r="BM131" s="691">
        <v>0</v>
      </c>
      <c r="BN131" s="695"/>
      <c r="BO131" s="695"/>
      <c r="BP131" s="690">
        <f t="shared" si="224"/>
        <v>0</v>
      </c>
      <c r="BQ131" s="690" t="e">
        <f t="shared" si="225"/>
        <v>#DIV/0!</v>
      </c>
      <c r="BR131" s="690">
        <f t="shared" si="226"/>
        <v>0.5</v>
      </c>
      <c r="BS131" s="690" t="e">
        <f t="shared" si="227"/>
        <v>#DIV/0!</v>
      </c>
      <c r="BT131" s="690"/>
      <c r="BU131" s="695">
        <v>1</v>
      </c>
      <c r="BV131" s="693" t="str">
        <f t="shared" si="228"/>
        <v>Informes trimestrales de PQRS presentado a la OCI de la Entidad</v>
      </c>
      <c r="BW131" s="691">
        <v>0</v>
      </c>
      <c r="BX131" s="695"/>
      <c r="BY131" s="695"/>
      <c r="BZ131" s="698">
        <f t="shared" si="229"/>
        <v>0</v>
      </c>
      <c r="CA131" s="698" t="e">
        <f t="shared" si="230"/>
        <v>#DIV/0!</v>
      </c>
      <c r="CB131" s="698">
        <f t="shared" si="231"/>
        <v>0.5</v>
      </c>
      <c r="CC131" s="698" t="e">
        <f t="shared" si="232"/>
        <v>#DIV/0!</v>
      </c>
      <c r="CD131" s="698"/>
      <c r="CE131" s="697">
        <f t="shared" si="233"/>
        <v>1</v>
      </c>
      <c r="CF131" s="697" t="str">
        <f t="shared" si="234"/>
        <v>No Prog ni Ejec</v>
      </c>
      <c r="CG131" s="697">
        <f t="shared" si="235"/>
        <v>1</v>
      </c>
      <c r="CH131" s="697" t="str">
        <f t="shared" si="236"/>
        <v>No Prog ni Ejec</v>
      </c>
      <c r="CI131" s="697">
        <f t="shared" si="237"/>
        <v>0</v>
      </c>
      <c r="CJ131" s="697" t="str">
        <f t="shared" si="238"/>
        <v>No Prog ni Ejec</v>
      </c>
      <c r="CK131" s="697">
        <f t="shared" si="239"/>
        <v>0</v>
      </c>
      <c r="CL131" s="786" t="str">
        <f t="shared" si="240"/>
        <v>No Prog ni Ejec</v>
      </c>
      <c r="CM131" s="136">
        <f t="shared" si="133"/>
        <v>0</v>
      </c>
      <c r="CR131" s="125">
        <v>1</v>
      </c>
      <c r="CS131" s="125"/>
      <c r="CT131" s="125"/>
      <c r="CU131" s="125"/>
      <c r="CV131" s="125"/>
      <c r="CW131" s="125"/>
      <c r="CX131" s="125"/>
      <c r="CY131" s="125"/>
      <c r="CZ131" s="125"/>
      <c r="DA131" s="125"/>
      <c r="DB131" s="125"/>
      <c r="DC131" s="125"/>
    </row>
    <row r="132" spans="1:107" s="70" customFormat="1" ht="112.5" hidden="1" customHeight="1" x14ac:dyDescent="0.2">
      <c r="A132" s="785">
        <v>11700</v>
      </c>
      <c r="B132" s="693" t="s">
        <v>14</v>
      </c>
      <c r="C132" s="693" t="s">
        <v>336</v>
      </c>
      <c r="D132" s="129" t="s">
        <v>1023</v>
      </c>
      <c r="E132" s="129"/>
      <c r="F132" s="129"/>
      <c r="G132" s="129"/>
      <c r="H132" s="129"/>
      <c r="I132" s="129"/>
      <c r="J132" s="129"/>
      <c r="K132" s="129"/>
      <c r="L132" s="129"/>
      <c r="M132" s="129"/>
      <c r="N132" s="129"/>
      <c r="O132" s="129"/>
      <c r="P132" s="129"/>
      <c r="Q132" s="693" t="s">
        <v>1623</v>
      </c>
      <c r="R132" s="693" t="s">
        <v>1144</v>
      </c>
      <c r="S132" s="695" t="s">
        <v>238</v>
      </c>
      <c r="T132" s="693" t="s">
        <v>94</v>
      </c>
      <c r="U132" s="693" t="s">
        <v>204</v>
      </c>
      <c r="V132" s="693" t="s">
        <v>204</v>
      </c>
      <c r="W132" s="695" t="s">
        <v>876</v>
      </c>
      <c r="X132" s="693" t="s">
        <v>906</v>
      </c>
      <c r="Y132" s="716" t="s">
        <v>51</v>
      </c>
      <c r="Z132" s="698">
        <v>1</v>
      </c>
      <c r="AA132" s="695" t="s">
        <v>867</v>
      </c>
      <c r="AB132" s="693" t="s">
        <v>907</v>
      </c>
      <c r="AC132" s="701">
        <v>0</v>
      </c>
      <c r="AD132" s="706">
        <v>1</v>
      </c>
      <c r="AE132" s="693" t="s">
        <v>18</v>
      </c>
      <c r="AF132" s="693" t="s">
        <v>24</v>
      </c>
      <c r="AG132" s="693" t="s">
        <v>204</v>
      </c>
      <c r="AH132" s="693" t="s">
        <v>638</v>
      </c>
      <c r="AI132" s="693" t="s">
        <v>76</v>
      </c>
      <c r="AJ132" s="693" t="s">
        <v>1278</v>
      </c>
      <c r="AK132" s="693" t="s">
        <v>908</v>
      </c>
      <c r="AL132" s="693" t="s">
        <v>40</v>
      </c>
      <c r="AM132" s="87">
        <v>1</v>
      </c>
      <c r="AN132" s="693" t="str">
        <f t="shared" ref="AN132:AO136" si="241">+AB132</f>
        <v xml:space="preserve">Convocar a las veedurías ciudadanas para que participen el proceso de licitación pública </v>
      </c>
      <c r="AO132" s="703">
        <f t="shared" si="241"/>
        <v>0</v>
      </c>
      <c r="AP132" s="700" t="s">
        <v>48</v>
      </c>
      <c r="AQ132" s="706">
        <v>0</v>
      </c>
      <c r="AR132" s="693" t="str">
        <f>+AN132</f>
        <v xml:space="preserve">Convocar a las veedurías ciudadanas para que participen el proceso de licitación pública </v>
      </c>
      <c r="AS132" s="691">
        <v>0</v>
      </c>
      <c r="AT132" s="491">
        <v>0</v>
      </c>
      <c r="AU132" s="709">
        <v>0</v>
      </c>
      <c r="AV132" s="690" t="e">
        <f t="shared" ref="AV132:AV145" si="242">+(AT132/AQ132)</f>
        <v>#DIV/0!</v>
      </c>
      <c r="AW132" s="690" t="e">
        <f t="shared" ref="AW132:AW151" si="243">+(AU132/AS132)</f>
        <v>#DIV/0!</v>
      </c>
      <c r="AX132" s="690">
        <f t="shared" ref="AX132:AX145" si="244">+(AT132/AM132)</f>
        <v>0</v>
      </c>
      <c r="AY132" s="690" t="e">
        <f t="shared" ref="AY132:AY145" si="245">+(AU132/AO132)</f>
        <v>#DIV/0!</v>
      </c>
      <c r="AZ132" s="490" t="s">
        <v>1351</v>
      </c>
      <c r="BA132" s="706">
        <v>0</v>
      </c>
      <c r="BB132" s="693" t="str">
        <f>+AN132</f>
        <v xml:space="preserve">Convocar a las veedurías ciudadanas para que participen el proceso de licitación pública </v>
      </c>
      <c r="BC132" s="691">
        <v>0</v>
      </c>
      <c r="BD132" s="767">
        <f>(1/3)*BA132</f>
        <v>0</v>
      </c>
      <c r="BE132" s="691">
        <v>0</v>
      </c>
      <c r="BF132" s="690" t="e">
        <f t="shared" ref="BF132:BF151" si="246">+(BD132/BA132)</f>
        <v>#DIV/0!</v>
      </c>
      <c r="BG132" s="690" t="e">
        <f t="shared" ref="BG132:BG151" si="247">+(BE132/BC132)</f>
        <v>#DIV/0!</v>
      </c>
      <c r="BH132" s="690">
        <f t="shared" ref="BH132:BH151" si="248">+(BD132+AT132)/AM132</f>
        <v>0</v>
      </c>
      <c r="BI132" s="690" t="e">
        <f t="shared" ref="BI132:BI151" si="249">+(BE132+AU132)/AO132</f>
        <v>#DIV/0!</v>
      </c>
      <c r="BJ132" s="693" t="s">
        <v>1671</v>
      </c>
      <c r="BK132" s="706">
        <v>0</v>
      </c>
      <c r="BL132" s="693" t="str">
        <f>+AN132</f>
        <v xml:space="preserve">Convocar a las veedurías ciudadanas para que participen el proceso de licitación pública </v>
      </c>
      <c r="BM132" s="691">
        <v>0</v>
      </c>
      <c r="BN132" s="695"/>
      <c r="BO132" s="695"/>
      <c r="BP132" s="690" t="e">
        <f t="shared" ref="BP132:BP141" si="250">+(BN132/BK132)</f>
        <v>#DIV/0!</v>
      </c>
      <c r="BQ132" s="690" t="e">
        <f t="shared" ref="BQ132:BQ141" si="251">+(BO132/BM132)</f>
        <v>#DIV/0!</v>
      </c>
      <c r="BR132" s="690">
        <f t="shared" ref="BR132:BR141" si="252">+(BD132+AT132+BN132)/AM132</f>
        <v>0</v>
      </c>
      <c r="BS132" s="690" t="e">
        <f t="shared" ref="BS132:BS141" si="253">+(BE132+AU132+BO132)/AO132</f>
        <v>#DIV/0!</v>
      </c>
      <c r="BT132" s="690"/>
      <c r="BU132" s="706">
        <v>1</v>
      </c>
      <c r="BV132" s="693" t="str">
        <f>+AN132</f>
        <v xml:space="preserve">Convocar a las veedurías ciudadanas para que participen el proceso de licitación pública </v>
      </c>
      <c r="BW132" s="691">
        <v>0</v>
      </c>
      <c r="BX132" s="695"/>
      <c r="BY132" s="695"/>
      <c r="BZ132" s="698">
        <f t="shared" ref="BZ132:BZ141" si="254">+(BX132/BU132)</f>
        <v>0</v>
      </c>
      <c r="CA132" s="698" t="e">
        <f t="shared" ref="CA132:CA141" si="255">+(BY132/BW132)</f>
        <v>#DIV/0!</v>
      </c>
      <c r="CB132" s="698">
        <f t="shared" ref="CB132:CB141" si="256">+(BD132+AT132+BN132+BX132)/AM132</f>
        <v>0</v>
      </c>
      <c r="CC132" s="698" t="e">
        <f t="shared" ref="CC132:CC141" si="257">+(BE132+AU132+BO132+BY132)/AO132</f>
        <v>#DIV/0!</v>
      </c>
      <c r="CD132" s="698"/>
      <c r="CE132" s="697" t="str">
        <f t="shared" ref="CE132:CE141" si="258">IF(AND(AQ132=0,AT132=0),"No Prog ni Ejec",IF(AQ132=0,CONCATENATE("No Prog, Ejec=  ",AT132),AT132/AQ132))</f>
        <v>No Prog ni Ejec</v>
      </c>
      <c r="CF132" s="697" t="str">
        <f t="shared" ref="CF132:CF141" si="259">IF(AND(AS132=0,AU132=0),"No Prog ni Ejec",IF(AS132=0,CONCATENATE("No Prog, Ejec=  ",AU132),AU132/AS132))</f>
        <v>No Prog ni Ejec</v>
      </c>
      <c r="CG132" s="697" t="str">
        <f t="shared" ref="CG132:CG141" si="260">IF(AND(BA132=0,BD132=0),"No Prog ni Ejec",IF(BA132=0,CONCATENATE("No Prog, Ejec=  ",BD132),BD132/BA132))</f>
        <v>No Prog ni Ejec</v>
      </c>
      <c r="CH132" s="697" t="str">
        <f t="shared" ref="CH132:CH141" si="261">IF(AND(BC132=0,BE132=0),"No Prog ni Ejec",IF(BC132=0,CONCATENATE("No Prog, Ejec=  ",BE132),BE132/BC132))</f>
        <v>No Prog ni Ejec</v>
      </c>
      <c r="CI132" s="697" t="str">
        <f t="shared" ref="CI132:CI141" si="262">IF(AND(BK132=0,BN132=0),"No Prog ni Ejec",IF(BK132=0,CONCATENATE("No Prog, Ejec=  ",BN132),BN132/BK132))</f>
        <v>No Prog ni Ejec</v>
      </c>
      <c r="CJ132" s="697" t="str">
        <f t="shared" ref="CJ132:CJ141" si="263">IF(AND(BM132=0,BO132=0),"No Prog ni Ejec",IF(BM132=0,CONCATENATE("No Prog, Ejec=  ",BO132),BO132/BM132))</f>
        <v>No Prog ni Ejec</v>
      </c>
      <c r="CK132" s="697">
        <f t="shared" ref="CK132:CK141" si="264">IF(AND(BU132=0,BX132=0),"No Prog ni Ejec",IF(BU132=0,CONCATENATE("No Prog, Ejec=  ",BX132),BX132/BU132))</f>
        <v>0</v>
      </c>
      <c r="CL132" s="786" t="str">
        <f t="shared" ref="CL132:CL141" si="265">IF(AND(BW132=0,BY132=0),"No Prog ni Ejec",IF(BW132=0,CONCATENATE("No Prog, Ejec=  ",BY132),BY132/BW132))</f>
        <v>No Prog ni Ejec</v>
      </c>
      <c r="CM132" s="136">
        <f t="shared" si="133"/>
        <v>0</v>
      </c>
      <c r="CR132" s="125">
        <v>1</v>
      </c>
      <c r="CS132" s="125"/>
      <c r="CT132" s="125"/>
      <c r="CU132" s="125"/>
      <c r="CV132" s="125"/>
      <c r="CW132" s="125"/>
      <c r="CX132" s="125"/>
      <c r="CY132" s="125"/>
      <c r="CZ132" s="125"/>
      <c r="DA132" s="125"/>
      <c r="DB132" s="125"/>
      <c r="DC132" s="125"/>
    </row>
    <row r="133" spans="1:107" s="70" customFormat="1" ht="112.5" hidden="1" customHeight="1" x14ac:dyDescent="0.2">
      <c r="A133" s="785">
        <v>11700</v>
      </c>
      <c r="B133" s="693" t="s">
        <v>14</v>
      </c>
      <c r="C133" s="693" t="s">
        <v>336</v>
      </c>
      <c r="D133" s="129" t="s">
        <v>1023</v>
      </c>
      <c r="E133" s="129"/>
      <c r="F133" s="129"/>
      <c r="G133" s="129"/>
      <c r="H133" s="129"/>
      <c r="I133" s="129"/>
      <c r="J133" s="129"/>
      <c r="K133" s="129"/>
      <c r="L133" s="129"/>
      <c r="M133" s="129"/>
      <c r="N133" s="129"/>
      <c r="O133" s="129"/>
      <c r="P133" s="129"/>
      <c r="Q133" s="693" t="s">
        <v>1134</v>
      </c>
      <c r="R133" s="693" t="s">
        <v>1140</v>
      </c>
      <c r="S133" s="695" t="s">
        <v>238</v>
      </c>
      <c r="T133" s="693" t="s">
        <v>94</v>
      </c>
      <c r="U133" s="693" t="s">
        <v>204</v>
      </c>
      <c r="V133" s="693" t="s">
        <v>204</v>
      </c>
      <c r="W133" s="695" t="s">
        <v>877</v>
      </c>
      <c r="X133" s="693" t="s">
        <v>1061</v>
      </c>
      <c r="Y133" s="716" t="s">
        <v>391</v>
      </c>
      <c r="Z133" s="66">
        <v>3</v>
      </c>
      <c r="AA133" s="695" t="s">
        <v>868</v>
      </c>
      <c r="AB133" s="693" t="s">
        <v>1060</v>
      </c>
      <c r="AC133" s="691">
        <v>0</v>
      </c>
      <c r="AD133" s="706">
        <v>1</v>
      </c>
      <c r="AE133" s="693" t="s">
        <v>17</v>
      </c>
      <c r="AF133" s="693" t="s">
        <v>295</v>
      </c>
      <c r="AG133" s="693" t="s">
        <v>204</v>
      </c>
      <c r="AH133" s="693" t="s">
        <v>638</v>
      </c>
      <c r="AI133" s="693" t="s">
        <v>1051</v>
      </c>
      <c r="AJ133" s="693" t="s">
        <v>1286</v>
      </c>
      <c r="AK133" s="693" t="s">
        <v>1062</v>
      </c>
      <c r="AL133" s="693" t="s">
        <v>204</v>
      </c>
      <c r="AM133" s="67">
        <v>3</v>
      </c>
      <c r="AN133" s="693" t="str">
        <f t="shared" si="241"/>
        <v>Realizar reuniones de autocontrol y seguimiento a los procesos que evidencien el monitoreo a los riesgos, indicadores, planes de mejoramiento, manuales y documentos asociados</v>
      </c>
      <c r="AO133" s="703">
        <f t="shared" si="241"/>
        <v>0</v>
      </c>
      <c r="AP133" s="700" t="s">
        <v>48</v>
      </c>
      <c r="AQ133" s="67">
        <v>0</v>
      </c>
      <c r="AR133" s="693" t="str">
        <f>+AN133</f>
        <v>Realizar reuniones de autocontrol y seguimiento a los procesos que evidencien el monitoreo a los riesgos, indicadores, planes de mejoramiento, manuales y documentos asociados</v>
      </c>
      <c r="AS133" s="691">
        <f>+AO133/4</f>
        <v>0</v>
      </c>
      <c r="AT133" s="491">
        <v>0</v>
      </c>
      <c r="AU133" s="491">
        <v>0</v>
      </c>
      <c r="AV133" s="690" t="e">
        <f t="shared" si="242"/>
        <v>#DIV/0!</v>
      </c>
      <c r="AW133" s="690" t="e">
        <f t="shared" si="243"/>
        <v>#DIV/0!</v>
      </c>
      <c r="AX133" s="690">
        <f t="shared" si="244"/>
        <v>0</v>
      </c>
      <c r="AY133" s="690" t="e">
        <f t="shared" si="245"/>
        <v>#DIV/0!</v>
      </c>
      <c r="AZ133" s="522" t="s">
        <v>1352</v>
      </c>
      <c r="BA133" s="67">
        <v>1</v>
      </c>
      <c r="BB133" s="693" t="str">
        <f>+AN133</f>
        <v>Realizar reuniones de autocontrol y seguimiento a los procesos que evidencien el monitoreo a los riesgos, indicadores, planes de mejoramiento, manuales y documentos asociados</v>
      </c>
      <c r="BC133" s="691">
        <f>+AO133/4</f>
        <v>0</v>
      </c>
      <c r="BD133" s="716">
        <v>1</v>
      </c>
      <c r="BE133" s="691">
        <v>0</v>
      </c>
      <c r="BF133" s="690">
        <f t="shared" si="246"/>
        <v>1</v>
      </c>
      <c r="BG133" s="690" t="e">
        <f t="shared" si="247"/>
        <v>#DIV/0!</v>
      </c>
      <c r="BH133" s="690">
        <f t="shared" si="248"/>
        <v>0.33333333333333331</v>
      </c>
      <c r="BI133" s="690" t="e">
        <f t="shared" si="249"/>
        <v>#DIV/0!</v>
      </c>
      <c r="BJ133" s="516" t="s">
        <v>1672</v>
      </c>
      <c r="BK133" s="67">
        <v>1</v>
      </c>
      <c r="BL133" s="693" t="str">
        <f>+AN133</f>
        <v>Realizar reuniones de autocontrol y seguimiento a los procesos que evidencien el monitoreo a los riesgos, indicadores, planes de mejoramiento, manuales y documentos asociados</v>
      </c>
      <c r="BM133" s="691">
        <f>+AO133/4</f>
        <v>0</v>
      </c>
      <c r="BN133" s="695"/>
      <c r="BO133" s="695"/>
      <c r="BP133" s="690">
        <f t="shared" si="250"/>
        <v>0</v>
      </c>
      <c r="BQ133" s="690" t="e">
        <f t="shared" si="251"/>
        <v>#DIV/0!</v>
      </c>
      <c r="BR133" s="690">
        <f t="shared" si="252"/>
        <v>0.33333333333333331</v>
      </c>
      <c r="BS133" s="690" t="e">
        <f t="shared" si="253"/>
        <v>#DIV/0!</v>
      </c>
      <c r="BT133" s="690"/>
      <c r="BU133" s="67">
        <v>1</v>
      </c>
      <c r="BV133" s="693" t="str">
        <f>+AN133</f>
        <v>Realizar reuniones de autocontrol y seguimiento a los procesos que evidencien el monitoreo a los riesgos, indicadores, planes de mejoramiento, manuales y documentos asociados</v>
      </c>
      <c r="BW133" s="691">
        <f>+AO133/4</f>
        <v>0</v>
      </c>
      <c r="BX133" s="695"/>
      <c r="BY133" s="695"/>
      <c r="BZ133" s="698">
        <f t="shared" si="254"/>
        <v>0</v>
      </c>
      <c r="CA133" s="698" t="e">
        <f t="shared" si="255"/>
        <v>#DIV/0!</v>
      </c>
      <c r="CB133" s="698">
        <f t="shared" si="256"/>
        <v>0.33333333333333331</v>
      </c>
      <c r="CC133" s="698" t="e">
        <f t="shared" si="257"/>
        <v>#DIV/0!</v>
      </c>
      <c r="CD133" s="698"/>
      <c r="CE133" s="697" t="str">
        <f t="shared" si="258"/>
        <v>No Prog ni Ejec</v>
      </c>
      <c r="CF133" s="697" t="str">
        <f t="shared" si="259"/>
        <v>No Prog ni Ejec</v>
      </c>
      <c r="CG133" s="697">
        <f t="shared" si="260"/>
        <v>1</v>
      </c>
      <c r="CH133" s="697" t="str">
        <f t="shared" si="261"/>
        <v>No Prog ni Ejec</v>
      </c>
      <c r="CI133" s="697">
        <f t="shared" si="262"/>
        <v>0</v>
      </c>
      <c r="CJ133" s="697" t="str">
        <f t="shared" si="263"/>
        <v>No Prog ni Ejec</v>
      </c>
      <c r="CK133" s="697">
        <f t="shared" si="264"/>
        <v>0</v>
      </c>
      <c r="CL133" s="786" t="str">
        <f t="shared" si="265"/>
        <v>No Prog ni Ejec</v>
      </c>
      <c r="CM133" s="136">
        <f t="shared" si="133"/>
        <v>0</v>
      </c>
      <c r="CR133" s="125"/>
      <c r="CS133" s="125"/>
      <c r="CT133" s="125"/>
      <c r="CU133" s="125"/>
      <c r="CV133" s="125"/>
      <c r="CW133" s="125"/>
      <c r="CX133" s="125"/>
      <c r="CY133" s="125"/>
      <c r="CZ133" s="125"/>
      <c r="DA133" s="125"/>
      <c r="DB133" s="125"/>
      <c r="DC133" s="125"/>
    </row>
    <row r="134" spans="1:107" s="614" customFormat="1" ht="409.5" hidden="1" x14ac:dyDescent="0.2">
      <c r="A134" s="828">
        <v>11600</v>
      </c>
      <c r="B134" s="689" t="s">
        <v>4</v>
      </c>
      <c r="C134" s="689" t="s">
        <v>330</v>
      </c>
      <c r="D134" s="129"/>
      <c r="E134" s="129" t="s">
        <v>1023</v>
      </c>
      <c r="F134" s="129" t="s">
        <v>1023</v>
      </c>
      <c r="G134" s="129"/>
      <c r="H134" s="129"/>
      <c r="I134" s="129"/>
      <c r="J134" s="129"/>
      <c r="K134" s="129"/>
      <c r="L134" s="129"/>
      <c r="M134" s="129"/>
      <c r="N134" s="129"/>
      <c r="O134" s="129"/>
      <c r="P134" s="129"/>
      <c r="Q134" s="693" t="s">
        <v>204</v>
      </c>
      <c r="R134" s="693" t="s">
        <v>204</v>
      </c>
      <c r="S134" s="695" t="s">
        <v>100</v>
      </c>
      <c r="T134" s="693" t="s">
        <v>94</v>
      </c>
      <c r="U134" s="693" t="s">
        <v>204</v>
      </c>
      <c r="V134" s="693" t="s">
        <v>204</v>
      </c>
      <c r="W134" s="694" t="s">
        <v>105</v>
      </c>
      <c r="X134" s="689" t="s">
        <v>387</v>
      </c>
      <c r="Y134" s="608" t="s">
        <v>51</v>
      </c>
      <c r="Z134" s="610">
        <v>0.9</v>
      </c>
      <c r="AA134" s="694" t="s">
        <v>102</v>
      </c>
      <c r="AB134" s="689" t="s">
        <v>350</v>
      </c>
      <c r="AC134" s="705">
        <f>178704377.103774+48960000</f>
        <v>227664377.10377401</v>
      </c>
      <c r="AD134" s="706">
        <v>1</v>
      </c>
      <c r="AE134" s="693" t="s">
        <v>17</v>
      </c>
      <c r="AF134" s="693" t="s">
        <v>27</v>
      </c>
      <c r="AG134" s="693" t="s">
        <v>204</v>
      </c>
      <c r="AH134" s="693" t="s">
        <v>638</v>
      </c>
      <c r="AI134" s="693" t="s">
        <v>82</v>
      </c>
      <c r="AJ134" s="693" t="s">
        <v>1285</v>
      </c>
      <c r="AK134" s="689" t="s">
        <v>1310</v>
      </c>
      <c r="AL134" s="693" t="s">
        <v>44</v>
      </c>
      <c r="AM134" s="610">
        <v>0.9</v>
      </c>
      <c r="AN134" s="689" t="str">
        <f t="shared" si="241"/>
        <v>Servicio BPO-Mesa de ayuda</v>
      </c>
      <c r="AO134" s="704">
        <f t="shared" si="241"/>
        <v>227664377.10377401</v>
      </c>
      <c r="AP134" s="700" t="s">
        <v>46</v>
      </c>
      <c r="AQ134" s="609">
        <v>0.22500000000000001</v>
      </c>
      <c r="AR134" s="689" t="str">
        <f>+AN134</f>
        <v>Servicio BPO-Mesa de ayuda</v>
      </c>
      <c r="AS134" s="705">
        <f>+AC134*0.1</f>
        <v>22766437.710377403</v>
      </c>
      <c r="AT134" s="629">
        <f>(189/189)*AQ134</f>
        <v>0.22500000000000001</v>
      </c>
      <c r="AU134" s="705">
        <f>952000+4080000+4080000</f>
        <v>9112000</v>
      </c>
      <c r="AV134" s="692">
        <f t="shared" si="242"/>
        <v>1</v>
      </c>
      <c r="AW134" s="692">
        <f t="shared" si="243"/>
        <v>0.40023828566937225</v>
      </c>
      <c r="AX134" s="692">
        <f t="shared" si="244"/>
        <v>0.25</v>
      </c>
      <c r="AY134" s="692">
        <f t="shared" si="245"/>
        <v>4.0023828566937231E-2</v>
      </c>
      <c r="AZ134" s="611" t="s">
        <v>1776</v>
      </c>
      <c r="BA134" s="609">
        <v>0.22500000000000001</v>
      </c>
      <c r="BB134" s="689" t="str">
        <f>+AN134</f>
        <v>Servicio BPO-Mesa de ayuda</v>
      </c>
      <c r="BC134" s="705">
        <f>+AO134*0.3</f>
        <v>68299313.1311322</v>
      </c>
      <c r="BD134" s="608"/>
      <c r="BE134" s="696"/>
      <c r="BF134" s="692">
        <f t="shared" si="246"/>
        <v>0</v>
      </c>
      <c r="BG134" s="692">
        <f t="shared" si="247"/>
        <v>0</v>
      </c>
      <c r="BH134" s="692">
        <f t="shared" si="248"/>
        <v>0.25</v>
      </c>
      <c r="BI134" s="692">
        <f t="shared" si="249"/>
        <v>4.0023828566937231E-2</v>
      </c>
      <c r="BJ134" s="762"/>
      <c r="BK134" s="609">
        <v>0.22500000000000001</v>
      </c>
      <c r="BL134" s="689" t="str">
        <f>+AN134</f>
        <v>Servicio BPO-Mesa de ayuda</v>
      </c>
      <c r="BM134" s="705">
        <f>+AO134*0.3</f>
        <v>68299313.1311322</v>
      </c>
      <c r="BN134" s="694"/>
      <c r="BO134" s="694"/>
      <c r="BP134" s="692">
        <f t="shared" si="250"/>
        <v>0</v>
      </c>
      <c r="BQ134" s="692">
        <f t="shared" si="251"/>
        <v>0</v>
      </c>
      <c r="BR134" s="692">
        <f t="shared" si="252"/>
        <v>0.25</v>
      </c>
      <c r="BS134" s="692">
        <f t="shared" si="253"/>
        <v>4.0023828566937231E-2</v>
      </c>
      <c r="BT134" s="692"/>
      <c r="BU134" s="609">
        <v>0.22500000000000001</v>
      </c>
      <c r="BV134" s="689" t="str">
        <f>+AN134</f>
        <v>Servicio BPO-Mesa de ayuda</v>
      </c>
      <c r="BW134" s="696">
        <f>+AO134*0.3</f>
        <v>68299313.1311322</v>
      </c>
      <c r="BX134" s="694"/>
      <c r="BY134" s="694"/>
      <c r="BZ134" s="707">
        <f t="shared" si="254"/>
        <v>0</v>
      </c>
      <c r="CA134" s="707">
        <f t="shared" si="255"/>
        <v>0</v>
      </c>
      <c r="CB134" s="707">
        <f t="shared" si="256"/>
        <v>0.25</v>
      </c>
      <c r="CC134" s="707">
        <f t="shared" si="257"/>
        <v>4.0023828566937231E-2</v>
      </c>
      <c r="CD134" s="707"/>
      <c r="CE134" s="699">
        <f t="shared" si="258"/>
        <v>1</v>
      </c>
      <c r="CF134" s="699">
        <f t="shared" si="259"/>
        <v>0.40023828566937225</v>
      </c>
      <c r="CG134" s="699">
        <f t="shared" si="260"/>
        <v>0</v>
      </c>
      <c r="CH134" s="699">
        <f t="shared" si="261"/>
        <v>0</v>
      </c>
      <c r="CI134" s="699">
        <f t="shared" si="262"/>
        <v>0</v>
      </c>
      <c r="CJ134" s="699">
        <f t="shared" si="263"/>
        <v>0</v>
      </c>
      <c r="CK134" s="699">
        <f t="shared" si="264"/>
        <v>0</v>
      </c>
      <c r="CL134" s="879">
        <f t="shared" si="265"/>
        <v>0</v>
      </c>
      <c r="CM134" s="613">
        <f t="shared" si="133"/>
        <v>0</v>
      </c>
      <c r="CR134" s="70"/>
      <c r="CS134" s="70"/>
      <c r="CT134" s="70"/>
      <c r="CU134" s="70"/>
      <c r="CV134" s="70"/>
      <c r="CW134" s="125">
        <v>6</v>
      </c>
      <c r="CX134" s="70"/>
      <c r="CY134" s="70"/>
      <c r="CZ134" s="70"/>
      <c r="DA134" s="70"/>
      <c r="DB134" s="70"/>
      <c r="DC134" s="70"/>
    </row>
    <row r="135" spans="1:107" s="70" customFormat="1" ht="99.75" hidden="1" customHeight="1" x14ac:dyDescent="0.2">
      <c r="A135" s="785">
        <v>11600</v>
      </c>
      <c r="B135" s="693" t="s">
        <v>4</v>
      </c>
      <c r="C135" s="724" t="s">
        <v>529</v>
      </c>
      <c r="D135" s="177"/>
      <c r="E135" s="177" t="s">
        <v>1023</v>
      </c>
      <c r="F135" s="177" t="s">
        <v>1023</v>
      </c>
      <c r="G135" s="177"/>
      <c r="H135" s="177"/>
      <c r="I135" s="177"/>
      <c r="J135" s="177"/>
      <c r="K135" s="177"/>
      <c r="L135" s="177"/>
      <c r="M135" s="177"/>
      <c r="N135" s="177"/>
      <c r="O135" s="177" t="s">
        <v>1023</v>
      </c>
      <c r="P135" s="177"/>
      <c r="Q135" s="693" t="s">
        <v>204</v>
      </c>
      <c r="R135" s="693" t="s">
        <v>204</v>
      </c>
      <c r="S135" s="695" t="s">
        <v>100</v>
      </c>
      <c r="T135" s="693" t="s">
        <v>94</v>
      </c>
      <c r="U135" s="693" t="s">
        <v>204</v>
      </c>
      <c r="V135" s="693" t="s">
        <v>204</v>
      </c>
      <c r="W135" s="695" t="s">
        <v>106</v>
      </c>
      <c r="X135" s="693" t="s">
        <v>431</v>
      </c>
      <c r="Y135" s="716" t="s">
        <v>51</v>
      </c>
      <c r="Z135" s="167">
        <v>1</v>
      </c>
      <c r="AA135" s="695" t="s">
        <v>103</v>
      </c>
      <c r="AB135" s="693" t="s">
        <v>351</v>
      </c>
      <c r="AC135" s="701">
        <v>203562225</v>
      </c>
      <c r="AD135" s="706">
        <v>1</v>
      </c>
      <c r="AE135" s="693" t="s">
        <v>17</v>
      </c>
      <c r="AF135" s="693" t="s">
        <v>297</v>
      </c>
      <c r="AG135" s="693" t="s">
        <v>204</v>
      </c>
      <c r="AH135" s="693" t="s">
        <v>638</v>
      </c>
      <c r="AI135" s="693" t="s">
        <v>81</v>
      </c>
      <c r="AJ135" s="693" t="s">
        <v>1275</v>
      </c>
      <c r="AK135" s="693" t="s">
        <v>432</v>
      </c>
      <c r="AL135" s="693" t="s">
        <v>44</v>
      </c>
      <c r="AM135" s="170">
        <v>1</v>
      </c>
      <c r="AN135" s="693" t="str">
        <f t="shared" si="241"/>
        <v>Contratar una consultoría para la planeación, diagnóstico, alistamiento, implementación y monitoreo para la adopción del protocolo IPV6.</v>
      </c>
      <c r="AO135" s="703">
        <f t="shared" si="241"/>
        <v>203562225</v>
      </c>
      <c r="AP135" s="700" t="s">
        <v>46</v>
      </c>
      <c r="AQ135" s="167">
        <v>0</v>
      </c>
      <c r="AR135" s="693" t="str">
        <f>+AN135</f>
        <v>Contratar una consultoría para la planeación, diagnóstico, alistamiento, implementación y monitoreo para la adopción del protocolo IPV6.</v>
      </c>
      <c r="AS135" s="701">
        <f>+AO135*0</f>
        <v>0</v>
      </c>
      <c r="AT135" s="167">
        <v>0</v>
      </c>
      <c r="AU135" s="701">
        <v>0</v>
      </c>
      <c r="AV135" s="690" t="e">
        <f t="shared" si="242"/>
        <v>#DIV/0!</v>
      </c>
      <c r="AW135" s="690" t="e">
        <f t="shared" si="243"/>
        <v>#DIV/0!</v>
      </c>
      <c r="AX135" s="690">
        <f t="shared" si="244"/>
        <v>0</v>
      </c>
      <c r="AY135" s="690">
        <f t="shared" si="245"/>
        <v>0</v>
      </c>
      <c r="AZ135" s="484" t="s">
        <v>1323</v>
      </c>
      <c r="BA135" s="167">
        <v>0</v>
      </c>
      <c r="BB135" s="693" t="str">
        <f>+AN135</f>
        <v>Contratar una consultoría para la planeación, diagnóstico, alistamiento, implementación y monitoreo para la adopción del protocolo IPV6.</v>
      </c>
      <c r="BC135" s="701">
        <f>+AO135*0</f>
        <v>0</v>
      </c>
      <c r="BD135" s="767">
        <v>0</v>
      </c>
      <c r="BE135" s="701">
        <v>0</v>
      </c>
      <c r="BF135" s="690" t="e">
        <f t="shared" si="246"/>
        <v>#DIV/0!</v>
      </c>
      <c r="BG135" s="690" t="e">
        <f t="shared" si="247"/>
        <v>#DIV/0!</v>
      </c>
      <c r="BH135" s="690">
        <f t="shared" si="248"/>
        <v>0</v>
      </c>
      <c r="BI135" s="690">
        <f t="shared" si="249"/>
        <v>0</v>
      </c>
      <c r="BJ135" s="516" t="s">
        <v>1681</v>
      </c>
      <c r="BK135" s="167">
        <v>0</v>
      </c>
      <c r="BL135" s="693" t="str">
        <f>+AN135</f>
        <v>Contratar una consultoría para la planeación, diagnóstico, alistamiento, implementación y monitoreo para la adopción del protocolo IPV6.</v>
      </c>
      <c r="BM135" s="603">
        <f>+AO135*0.1</f>
        <v>20356222.5</v>
      </c>
      <c r="BN135" s="695"/>
      <c r="BO135" s="695"/>
      <c r="BP135" s="690" t="e">
        <f t="shared" si="250"/>
        <v>#DIV/0!</v>
      </c>
      <c r="BQ135" s="690">
        <f t="shared" si="251"/>
        <v>0</v>
      </c>
      <c r="BR135" s="690">
        <f t="shared" si="252"/>
        <v>0</v>
      </c>
      <c r="BS135" s="690">
        <f t="shared" si="253"/>
        <v>0</v>
      </c>
      <c r="BT135" s="690"/>
      <c r="BU135" s="167">
        <v>1</v>
      </c>
      <c r="BV135" s="693" t="str">
        <f>+AN135</f>
        <v>Contratar una consultoría para la planeación, diagnóstico, alistamiento, implementación y monitoreo para la adopción del protocolo IPV6.</v>
      </c>
      <c r="BW135" s="603">
        <f>+AO135*0.9</f>
        <v>183206002.5</v>
      </c>
      <c r="BX135" s="695"/>
      <c r="BY135" s="695"/>
      <c r="BZ135" s="698">
        <f t="shared" si="254"/>
        <v>0</v>
      </c>
      <c r="CA135" s="698">
        <f t="shared" si="255"/>
        <v>0</v>
      </c>
      <c r="CB135" s="698">
        <f t="shared" si="256"/>
        <v>0</v>
      </c>
      <c r="CC135" s="698">
        <f t="shared" si="257"/>
        <v>0</v>
      </c>
      <c r="CD135" s="698"/>
      <c r="CE135" s="697" t="str">
        <f t="shared" si="258"/>
        <v>No Prog ni Ejec</v>
      </c>
      <c r="CF135" s="697" t="str">
        <f t="shared" si="259"/>
        <v>No Prog ni Ejec</v>
      </c>
      <c r="CG135" s="697" t="str">
        <f t="shared" si="260"/>
        <v>No Prog ni Ejec</v>
      </c>
      <c r="CH135" s="697" t="str">
        <f t="shared" si="261"/>
        <v>No Prog ni Ejec</v>
      </c>
      <c r="CI135" s="697" t="str">
        <f t="shared" si="262"/>
        <v>No Prog ni Ejec</v>
      </c>
      <c r="CJ135" s="697">
        <f t="shared" si="263"/>
        <v>0</v>
      </c>
      <c r="CK135" s="697">
        <f t="shared" si="264"/>
        <v>0</v>
      </c>
      <c r="CL135" s="786">
        <f t="shared" si="265"/>
        <v>0</v>
      </c>
      <c r="CM135" s="136">
        <f t="shared" si="133"/>
        <v>0</v>
      </c>
      <c r="CT135" s="125">
        <v>3</v>
      </c>
    </row>
    <row r="136" spans="1:107" s="614" customFormat="1" ht="111" hidden="1" customHeight="1" x14ac:dyDescent="0.2">
      <c r="A136" s="828">
        <v>11600</v>
      </c>
      <c r="B136" s="689" t="s">
        <v>4</v>
      </c>
      <c r="C136" s="605" t="s">
        <v>529</v>
      </c>
      <c r="D136" s="177"/>
      <c r="E136" s="177" t="s">
        <v>1023</v>
      </c>
      <c r="F136" s="177" t="s">
        <v>1023</v>
      </c>
      <c r="G136" s="177"/>
      <c r="H136" s="177"/>
      <c r="I136" s="177"/>
      <c r="J136" s="177"/>
      <c r="K136" s="177"/>
      <c r="L136" s="177"/>
      <c r="M136" s="177"/>
      <c r="N136" s="177"/>
      <c r="O136" s="177" t="s">
        <v>1023</v>
      </c>
      <c r="P136" s="177"/>
      <c r="Q136" s="693" t="s">
        <v>204</v>
      </c>
      <c r="R136" s="693" t="s">
        <v>204</v>
      </c>
      <c r="S136" s="695" t="s">
        <v>100</v>
      </c>
      <c r="T136" s="693" t="s">
        <v>94</v>
      </c>
      <c r="U136" s="693" t="s">
        <v>204</v>
      </c>
      <c r="V136" s="693" t="s">
        <v>204</v>
      </c>
      <c r="W136" s="694" t="s">
        <v>1113</v>
      </c>
      <c r="X136" s="689" t="s">
        <v>433</v>
      </c>
      <c r="Y136" s="606" t="s">
        <v>391</v>
      </c>
      <c r="Z136" s="607">
        <v>1</v>
      </c>
      <c r="AA136" s="1093" t="s">
        <v>1102</v>
      </c>
      <c r="AB136" s="1120" t="s">
        <v>352</v>
      </c>
      <c r="AC136" s="705">
        <v>84770477.298000008</v>
      </c>
      <c r="AD136" s="706">
        <v>1</v>
      </c>
      <c r="AE136" s="693" t="s">
        <v>17</v>
      </c>
      <c r="AF136" s="693" t="s">
        <v>297</v>
      </c>
      <c r="AG136" s="693" t="s">
        <v>204</v>
      </c>
      <c r="AH136" s="693" t="s">
        <v>638</v>
      </c>
      <c r="AI136" s="693" t="s">
        <v>81</v>
      </c>
      <c r="AJ136" s="959" t="s">
        <v>1275</v>
      </c>
      <c r="AK136" s="689" t="s">
        <v>428</v>
      </c>
      <c r="AL136" s="693" t="s">
        <v>44</v>
      </c>
      <c r="AM136" s="607">
        <v>1</v>
      </c>
      <c r="AN136" s="1083" t="str">
        <f t="shared" si="241"/>
        <v>Contratar la prestación de servicios técnicos para realizar análisis de vulnerabilidades, Ethical Hacking y pruebas de Ingeniería Social</v>
      </c>
      <c r="AO136" s="704">
        <f t="shared" si="241"/>
        <v>84770477.298000008</v>
      </c>
      <c r="AP136" s="700" t="s">
        <v>46</v>
      </c>
      <c r="AQ136" s="607">
        <v>0</v>
      </c>
      <c r="AR136" s="1083" t="str">
        <f>+AN136</f>
        <v>Contratar la prestación de servicios técnicos para realizar análisis de vulnerabilidades, Ethical Hacking y pruebas de Ingeniería Social</v>
      </c>
      <c r="AS136" s="705">
        <f>+AO136*0</f>
        <v>0</v>
      </c>
      <c r="AT136" s="694">
        <v>0</v>
      </c>
      <c r="AU136" s="705">
        <v>0</v>
      </c>
      <c r="AV136" s="692" t="e">
        <f t="shared" si="242"/>
        <v>#DIV/0!</v>
      </c>
      <c r="AW136" s="692" t="e">
        <f t="shared" si="243"/>
        <v>#DIV/0!</v>
      </c>
      <c r="AX136" s="692">
        <f t="shared" si="244"/>
        <v>0</v>
      </c>
      <c r="AY136" s="692">
        <f t="shared" si="245"/>
        <v>0</v>
      </c>
      <c r="AZ136" s="611" t="s">
        <v>1323</v>
      </c>
      <c r="BA136" s="607">
        <v>0</v>
      </c>
      <c r="BB136" s="1083" t="str">
        <f>+AN136</f>
        <v>Contratar la prestación de servicios técnicos para realizar análisis de vulnerabilidades, Ethical Hacking y pruebas de Ingeniería Social</v>
      </c>
      <c r="BC136" s="705">
        <f>+AO136*0.25</f>
        <v>21192619.324500002</v>
      </c>
      <c r="BD136" s="608"/>
      <c r="BE136" s="696"/>
      <c r="BF136" s="692" t="e">
        <f t="shared" si="246"/>
        <v>#DIV/0!</v>
      </c>
      <c r="BG136" s="692">
        <f t="shared" si="247"/>
        <v>0</v>
      </c>
      <c r="BH136" s="692">
        <f t="shared" si="248"/>
        <v>0</v>
      </c>
      <c r="BI136" s="692">
        <f t="shared" si="249"/>
        <v>0</v>
      </c>
      <c r="BJ136" s="762"/>
      <c r="BK136" s="607">
        <v>0</v>
      </c>
      <c r="BL136" s="1083" t="str">
        <f>+AN136</f>
        <v>Contratar la prestación de servicios técnicos para realizar análisis de vulnerabilidades, Ethical Hacking y pruebas de Ingeniería Social</v>
      </c>
      <c r="BM136" s="705">
        <f>+AO136*0.75</f>
        <v>63577857.973500006</v>
      </c>
      <c r="BN136" s="694"/>
      <c r="BO136" s="694"/>
      <c r="BP136" s="692" t="e">
        <f t="shared" si="250"/>
        <v>#DIV/0!</v>
      </c>
      <c r="BQ136" s="692">
        <f t="shared" si="251"/>
        <v>0</v>
      </c>
      <c r="BR136" s="692">
        <f t="shared" si="252"/>
        <v>0</v>
      </c>
      <c r="BS136" s="692">
        <f t="shared" si="253"/>
        <v>0</v>
      </c>
      <c r="BT136" s="692"/>
      <c r="BU136" s="607">
        <v>1</v>
      </c>
      <c r="BV136" s="1083" t="str">
        <f>+AN136</f>
        <v>Contratar la prestación de servicios técnicos para realizar análisis de vulnerabilidades, Ethical Hacking y pruebas de Ingeniería Social</v>
      </c>
      <c r="BW136" s="705">
        <f>+AO136*0</f>
        <v>0</v>
      </c>
      <c r="BX136" s="694"/>
      <c r="BY136" s="694"/>
      <c r="BZ136" s="707">
        <f t="shared" si="254"/>
        <v>0</v>
      </c>
      <c r="CA136" s="707" t="e">
        <f t="shared" si="255"/>
        <v>#DIV/0!</v>
      </c>
      <c r="CB136" s="707">
        <f t="shared" si="256"/>
        <v>0</v>
      </c>
      <c r="CC136" s="707">
        <f t="shared" si="257"/>
        <v>0</v>
      </c>
      <c r="CD136" s="707"/>
      <c r="CE136" s="699" t="str">
        <f t="shared" si="258"/>
        <v>No Prog ni Ejec</v>
      </c>
      <c r="CF136" s="699" t="str">
        <f t="shared" si="259"/>
        <v>No Prog ni Ejec</v>
      </c>
      <c r="CG136" s="699" t="str">
        <f t="shared" si="260"/>
        <v>No Prog ni Ejec</v>
      </c>
      <c r="CH136" s="699">
        <f t="shared" si="261"/>
        <v>0</v>
      </c>
      <c r="CI136" s="699" t="str">
        <f t="shared" si="262"/>
        <v>No Prog ni Ejec</v>
      </c>
      <c r="CJ136" s="699">
        <f t="shared" si="263"/>
        <v>0</v>
      </c>
      <c r="CK136" s="699">
        <f t="shared" si="264"/>
        <v>0</v>
      </c>
      <c r="CL136" s="879" t="str">
        <f t="shared" si="265"/>
        <v>No Prog ni Ejec</v>
      </c>
      <c r="CM136" s="613">
        <f t="shared" si="133"/>
        <v>0</v>
      </c>
      <c r="CR136" s="70"/>
      <c r="CS136" s="70"/>
      <c r="CT136" s="125">
        <v>3</v>
      </c>
      <c r="CU136" s="70"/>
      <c r="CV136" s="70"/>
      <c r="CW136" s="70"/>
      <c r="CX136" s="70"/>
      <c r="CY136" s="70"/>
      <c r="CZ136" s="70"/>
      <c r="DA136" s="70"/>
      <c r="DB136" s="70"/>
      <c r="DC136" s="70"/>
    </row>
    <row r="137" spans="1:107" s="614" customFormat="1" ht="111" hidden="1" customHeight="1" x14ac:dyDescent="0.2">
      <c r="A137" s="828">
        <v>11600</v>
      </c>
      <c r="B137" s="689" t="s">
        <v>4</v>
      </c>
      <c r="C137" s="605" t="s">
        <v>529</v>
      </c>
      <c r="D137" s="177"/>
      <c r="E137" s="177" t="s">
        <v>1023</v>
      </c>
      <c r="F137" s="177" t="s">
        <v>1023</v>
      </c>
      <c r="G137" s="177"/>
      <c r="H137" s="177"/>
      <c r="I137" s="177"/>
      <c r="J137" s="177"/>
      <c r="K137" s="177"/>
      <c r="L137" s="177"/>
      <c r="M137" s="177"/>
      <c r="N137" s="177"/>
      <c r="O137" s="177" t="s">
        <v>1023</v>
      </c>
      <c r="P137" s="177"/>
      <c r="Q137" s="693" t="s">
        <v>204</v>
      </c>
      <c r="R137" s="693" t="s">
        <v>204</v>
      </c>
      <c r="S137" s="695" t="s">
        <v>100</v>
      </c>
      <c r="T137" s="693" t="s">
        <v>94</v>
      </c>
      <c r="U137" s="693" t="s">
        <v>204</v>
      </c>
      <c r="V137" s="693" t="s">
        <v>204</v>
      </c>
      <c r="W137" s="694" t="s">
        <v>1149</v>
      </c>
      <c r="X137" s="689" t="s">
        <v>1151</v>
      </c>
      <c r="Y137" s="608" t="s">
        <v>51</v>
      </c>
      <c r="Z137" s="609">
        <v>0.8</v>
      </c>
      <c r="AA137" s="1093"/>
      <c r="AB137" s="1083"/>
      <c r="AC137" s="705">
        <v>0</v>
      </c>
      <c r="AD137" s="706">
        <v>1</v>
      </c>
      <c r="AE137" s="693" t="s">
        <v>17</v>
      </c>
      <c r="AF137" s="693" t="s">
        <v>297</v>
      </c>
      <c r="AG137" s="693" t="s">
        <v>204</v>
      </c>
      <c r="AH137" s="693" t="s">
        <v>638</v>
      </c>
      <c r="AI137" s="693" t="s">
        <v>81</v>
      </c>
      <c r="AJ137" s="959"/>
      <c r="AK137" s="689" t="s">
        <v>1150</v>
      </c>
      <c r="AL137" s="693" t="s">
        <v>44</v>
      </c>
      <c r="AM137" s="610">
        <v>0.8</v>
      </c>
      <c r="AN137" s="1083"/>
      <c r="AO137" s="704">
        <f t="shared" ref="AO137:AO145" si="266">+AC137</f>
        <v>0</v>
      </c>
      <c r="AP137" s="700" t="s">
        <v>46</v>
      </c>
      <c r="AQ137" s="610">
        <v>0.2</v>
      </c>
      <c r="AR137" s="1083"/>
      <c r="AS137" s="705">
        <v>0</v>
      </c>
      <c r="AT137" s="610">
        <f>6/30</f>
        <v>0.2</v>
      </c>
      <c r="AU137" s="705">
        <v>0</v>
      </c>
      <c r="AV137" s="692">
        <f t="shared" si="242"/>
        <v>1</v>
      </c>
      <c r="AW137" s="692" t="e">
        <f t="shared" si="243"/>
        <v>#DIV/0!</v>
      </c>
      <c r="AX137" s="692">
        <f t="shared" si="244"/>
        <v>0.25</v>
      </c>
      <c r="AY137" s="692" t="e">
        <f t="shared" si="245"/>
        <v>#DIV/0!</v>
      </c>
      <c r="AZ137" s="611" t="s">
        <v>1392</v>
      </c>
      <c r="BA137" s="610">
        <v>0.2</v>
      </c>
      <c r="BB137" s="1083"/>
      <c r="BC137" s="705">
        <v>0</v>
      </c>
      <c r="BD137" s="608"/>
      <c r="BE137" s="696"/>
      <c r="BF137" s="692">
        <f t="shared" si="246"/>
        <v>0</v>
      </c>
      <c r="BG137" s="692" t="e">
        <f t="shared" si="247"/>
        <v>#DIV/0!</v>
      </c>
      <c r="BH137" s="692">
        <f t="shared" si="248"/>
        <v>0.25</v>
      </c>
      <c r="BI137" s="692" t="e">
        <f t="shared" si="249"/>
        <v>#DIV/0!</v>
      </c>
      <c r="BJ137" s="762"/>
      <c r="BK137" s="610">
        <v>0.2</v>
      </c>
      <c r="BL137" s="1083"/>
      <c r="BM137" s="705">
        <v>0</v>
      </c>
      <c r="BN137" s="694"/>
      <c r="BO137" s="694"/>
      <c r="BP137" s="692">
        <f t="shared" si="250"/>
        <v>0</v>
      </c>
      <c r="BQ137" s="692" t="e">
        <f t="shared" si="251"/>
        <v>#DIV/0!</v>
      </c>
      <c r="BR137" s="692">
        <f t="shared" si="252"/>
        <v>0.25</v>
      </c>
      <c r="BS137" s="692" t="e">
        <f t="shared" si="253"/>
        <v>#DIV/0!</v>
      </c>
      <c r="BT137" s="692"/>
      <c r="BU137" s="610">
        <v>0.2</v>
      </c>
      <c r="BV137" s="1083"/>
      <c r="BW137" s="705">
        <v>0</v>
      </c>
      <c r="BX137" s="694"/>
      <c r="BY137" s="694"/>
      <c r="BZ137" s="707">
        <f t="shared" si="254"/>
        <v>0</v>
      </c>
      <c r="CA137" s="707" t="e">
        <f t="shared" si="255"/>
        <v>#DIV/0!</v>
      </c>
      <c r="CB137" s="707">
        <f t="shared" si="256"/>
        <v>0.25</v>
      </c>
      <c r="CC137" s="707" t="e">
        <f t="shared" si="257"/>
        <v>#DIV/0!</v>
      </c>
      <c r="CD137" s="707"/>
      <c r="CE137" s="699">
        <f t="shared" si="258"/>
        <v>1</v>
      </c>
      <c r="CF137" s="699" t="str">
        <f t="shared" si="259"/>
        <v>No Prog ni Ejec</v>
      </c>
      <c r="CG137" s="699">
        <f t="shared" si="260"/>
        <v>0</v>
      </c>
      <c r="CH137" s="699" t="str">
        <f t="shared" si="261"/>
        <v>No Prog ni Ejec</v>
      </c>
      <c r="CI137" s="699">
        <f t="shared" si="262"/>
        <v>0</v>
      </c>
      <c r="CJ137" s="699" t="str">
        <f t="shared" si="263"/>
        <v>No Prog ni Ejec</v>
      </c>
      <c r="CK137" s="699">
        <f t="shared" si="264"/>
        <v>0</v>
      </c>
      <c r="CL137" s="879" t="str">
        <f t="shared" si="265"/>
        <v>No Prog ni Ejec</v>
      </c>
      <c r="CM137" s="613"/>
      <c r="CR137" s="70"/>
      <c r="CS137" s="70"/>
      <c r="CT137" s="125"/>
      <c r="CU137" s="70"/>
      <c r="CV137" s="70"/>
      <c r="CW137" s="70"/>
      <c r="CX137" s="70"/>
      <c r="CY137" s="70"/>
      <c r="CZ137" s="70"/>
      <c r="DA137" s="70"/>
      <c r="DB137" s="70"/>
      <c r="DC137" s="70"/>
    </row>
    <row r="138" spans="1:107" s="70" customFormat="1" ht="114.75" hidden="1" customHeight="1" x14ac:dyDescent="0.2">
      <c r="A138" s="785">
        <v>11600</v>
      </c>
      <c r="B138" s="693" t="s">
        <v>4</v>
      </c>
      <c r="C138" s="693" t="s">
        <v>330</v>
      </c>
      <c r="D138" s="129"/>
      <c r="E138" s="129" t="s">
        <v>1023</v>
      </c>
      <c r="F138" s="129" t="s">
        <v>1023</v>
      </c>
      <c r="G138" s="129"/>
      <c r="H138" s="129"/>
      <c r="I138" s="129"/>
      <c r="J138" s="129"/>
      <c r="K138" s="129"/>
      <c r="L138" s="129"/>
      <c r="M138" s="129"/>
      <c r="N138" s="129"/>
      <c r="O138" s="129"/>
      <c r="P138" s="129"/>
      <c r="Q138" s="693" t="s">
        <v>204</v>
      </c>
      <c r="R138" s="693" t="s">
        <v>204</v>
      </c>
      <c r="S138" s="695" t="s">
        <v>100</v>
      </c>
      <c r="T138" s="693" t="s">
        <v>94</v>
      </c>
      <c r="U138" s="693" t="s">
        <v>204</v>
      </c>
      <c r="V138" s="693" t="s">
        <v>204</v>
      </c>
      <c r="W138" s="695" t="s">
        <v>1114</v>
      </c>
      <c r="X138" s="693" t="s">
        <v>405</v>
      </c>
      <c r="Y138" s="716" t="s">
        <v>51</v>
      </c>
      <c r="Z138" s="167">
        <v>1</v>
      </c>
      <c r="AA138" s="695" t="s">
        <v>1103</v>
      </c>
      <c r="AB138" s="693" t="s">
        <v>353</v>
      </c>
      <c r="AC138" s="701">
        <v>400000000</v>
      </c>
      <c r="AD138" s="706">
        <v>1</v>
      </c>
      <c r="AE138" s="693" t="s">
        <v>17</v>
      </c>
      <c r="AF138" s="693" t="s">
        <v>27</v>
      </c>
      <c r="AG138" s="693" t="s">
        <v>204</v>
      </c>
      <c r="AH138" s="693" t="s">
        <v>638</v>
      </c>
      <c r="AI138" s="693" t="s">
        <v>82</v>
      </c>
      <c r="AJ138" s="693" t="s">
        <v>1275</v>
      </c>
      <c r="AK138" s="693" t="s">
        <v>407</v>
      </c>
      <c r="AL138" s="693" t="s">
        <v>44</v>
      </c>
      <c r="AM138" s="170">
        <v>1</v>
      </c>
      <c r="AN138" s="693" t="str">
        <f>+AB138</f>
        <v>Implementación de los diferentes flujos de correspondencia, que incluya impresión de stickers, firma digital de documentos, estampado cronológico, reconocimiento OCR e integración con los flujos de PQRSD y Tutelas</v>
      </c>
      <c r="AO138" s="703">
        <f t="shared" si="266"/>
        <v>400000000</v>
      </c>
      <c r="AP138" s="700" t="s">
        <v>46</v>
      </c>
      <c r="AQ138" s="167">
        <v>0</v>
      </c>
      <c r="AR138" s="693" t="str">
        <f t="shared" ref="AR138:AR151" si="267">+AN138</f>
        <v>Implementación de los diferentes flujos de correspondencia, que incluya impresión de stickers, firma digital de documentos, estampado cronológico, reconocimiento OCR e integración con los flujos de PQRSD y Tutelas</v>
      </c>
      <c r="AS138" s="701">
        <v>0</v>
      </c>
      <c r="AT138" s="167">
        <v>0</v>
      </c>
      <c r="AU138" s="701">
        <v>0</v>
      </c>
      <c r="AV138" s="690" t="e">
        <f t="shared" si="242"/>
        <v>#DIV/0!</v>
      </c>
      <c r="AW138" s="690" t="e">
        <f t="shared" si="243"/>
        <v>#DIV/0!</v>
      </c>
      <c r="AX138" s="690">
        <f t="shared" si="244"/>
        <v>0</v>
      </c>
      <c r="AY138" s="690">
        <f t="shared" si="245"/>
        <v>0</v>
      </c>
      <c r="AZ138" s="484" t="s">
        <v>1323</v>
      </c>
      <c r="BA138" s="167">
        <v>0</v>
      </c>
      <c r="BB138" s="693" t="str">
        <f t="shared" ref="BB138:BB145" si="268">+AN138</f>
        <v>Implementación de los diferentes flujos de correspondencia, que incluya impresión de stickers, firma digital de documentos, estampado cronológico, reconocimiento OCR e integración con los flujos de PQRSD y Tutelas</v>
      </c>
      <c r="BC138" s="701">
        <v>0</v>
      </c>
      <c r="BD138" s="767">
        <v>0</v>
      </c>
      <c r="BE138" s="701">
        <v>0</v>
      </c>
      <c r="BF138" s="690" t="e">
        <f t="shared" si="246"/>
        <v>#DIV/0!</v>
      </c>
      <c r="BG138" s="690" t="e">
        <f t="shared" si="247"/>
        <v>#DIV/0!</v>
      </c>
      <c r="BH138" s="690">
        <f t="shared" si="248"/>
        <v>0</v>
      </c>
      <c r="BI138" s="690">
        <f t="shared" si="249"/>
        <v>0</v>
      </c>
      <c r="BJ138" s="516" t="s">
        <v>1681</v>
      </c>
      <c r="BK138" s="167">
        <f>0/5</f>
        <v>0</v>
      </c>
      <c r="BL138" s="693" t="str">
        <f t="shared" ref="BL138:BL151" si="269">+AN138</f>
        <v>Implementación de los diferentes flujos de correspondencia, que incluya impresión de stickers, firma digital de documentos, estampado cronológico, reconocimiento OCR e integración con los flujos de PQRSD y Tutelas</v>
      </c>
      <c r="BM138" s="701">
        <v>160000000</v>
      </c>
      <c r="BN138" s="695"/>
      <c r="BO138" s="695"/>
      <c r="BP138" s="690" t="e">
        <f t="shared" si="250"/>
        <v>#DIV/0!</v>
      </c>
      <c r="BQ138" s="690">
        <f t="shared" si="251"/>
        <v>0</v>
      </c>
      <c r="BR138" s="690">
        <f t="shared" si="252"/>
        <v>0</v>
      </c>
      <c r="BS138" s="690">
        <f t="shared" si="253"/>
        <v>0</v>
      </c>
      <c r="BT138" s="690"/>
      <c r="BU138" s="170">
        <v>1</v>
      </c>
      <c r="BV138" s="693" t="str">
        <f t="shared" ref="BV138:BV151" si="270">+AN138</f>
        <v>Implementación de los diferentes flujos de correspondencia, que incluya impresión de stickers, firma digital de documentos, estampado cronológico, reconocimiento OCR e integración con los flujos de PQRSD y Tutelas</v>
      </c>
      <c r="BW138" s="701">
        <v>240000000</v>
      </c>
      <c r="BX138" s="695"/>
      <c r="BY138" s="695"/>
      <c r="BZ138" s="698">
        <f t="shared" si="254"/>
        <v>0</v>
      </c>
      <c r="CA138" s="698">
        <f t="shared" si="255"/>
        <v>0</v>
      </c>
      <c r="CB138" s="698">
        <f t="shared" si="256"/>
        <v>0</v>
      </c>
      <c r="CC138" s="698">
        <f t="shared" si="257"/>
        <v>0</v>
      </c>
      <c r="CD138" s="698"/>
      <c r="CE138" s="697" t="str">
        <f t="shared" si="258"/>
        <v>No Prog ni Ejec</v>
      </c>
      <c r="CF138" s="697" t="str">
        <f t="shared" si="259"/>
        <v>No Prog ni Ejec</v>
      </c>
      <c r="CG138" s="697" t="str">
        <f t="shared" si="260"/>
        <v>No Prog ni Ejec</v>
      </c>
      <c r="CH138" s="697" t="str">
        <f t="shared" si="261"/>
        <v>No Prog ni Ejec</v>
      </c>
      <c r="CI138" s="697" t="str">
        <f t="shared" si="262"/>
        <v>No Prog ni Ejec</v>
      </c>
      <c r="CJ138" s="697">
        <f t="shared" si="263"/>
        <v>0</v>
      </c>
      <c r="CK138" s="697">
        <f t="shared" si="264"/>
        <v>0</v>
      </c>
      <c r="CL138" s="786">
        <f t="shared" si="265"/>
        <v>0</v>
      </c>
      <c r="CM138" s="136">
        <f t="shared" ref="CM138:CM179" si="271">+AC138-AS138-BC138-BM138-BW138</f>
        <v>0</v>
      </c>
      <c r="CW138" s="125">
        <v>6</v>
      </c>
    </row>
    <row r="139" spans="1:107" s="70" customFormat="1" ht="102.75" hidden="1" customHeight="1" x14ac:dyDescent="0.2">
      <c r="A139" s="785">
        <v>11600</v>
      </c>
      <c r="B139" s="693" t="s">
        <v>4</v>
      </c>
      <c r="C139" s="693" t="s">
        <v>331</v>
      </c>
      <c r="D139" s="129"/>
      <c r="E139" s="129"/>
      <c r="F139" s="129" t="s">
        <v>1023</v>
      </c>
      <c r="G139" s="129"/>
      <c r="H139" s="129"/>
      <c r="I139" s="129"/>
      <c r="J139" s="129"/>
      <c r="K139" s="129"/>
      <c r="L139" s="129"/>
      <c r="M139" s="129"/>
      <c r="N139" s="129" t="s">
        <v>1023</v>
      </c>
      <c r="O139" s="129"/>
      <c r="P139" s="129"/>
      <c r="Q139" s="693" t="s">
        <v>204</v>
      </c>
      <c r="R139" s="693" t="s">
        <v>204</v>
      </c>
      <c r="S139" s="695" t="s">
        <v>100</v>
      </c>
      <c r="T139" s="693" t="s">
        <v>94</v>
      </c>
      <c r="U139" s="693" t="s">
        <v>204</v>
      </c>
      <c r="V139" s="693" t="s">
        <v>204</v>
      </c>
      <c r="W139" s="695" t="s">
        <v>1115</v>
      </c>
      <c r="X139" s="693" t="s">
        <v>1105</v>
      </c>
      <c r="Y139" s="129" t="s">
        <v>391</v>
      </c>
      <c r="Z139" s="99">
        <v>1</v>
      </c>
      <c r="AA139" s="695" t="s">
        <v>1104</v>
      </c>
      <c r="AB139" s="693" t="s">
        <v>355</v>
      </c>
      <c r="AC139" s="701">
        <v>305665660.84805673</v>
      </c>
      <c r="AD139" s="706">
        <v>1</v>
      </c>
      <c r="AE139" s="693" t="s">
        <v>20</v>
      </c>
      <c r="AF139" s="693" t="s">
        <v>22</v>
      </c>
      <c r="AG139" s="693" t="s">
        <v>204</v>
      </c>
      <c r="AH139" s="693" t="s">
        <v>638</v>
      </c>
      <c r="AI139" s="693" t="s">
        <v>81</v>
      </c>
      <c r="AJ139" s="693" t="s">
        <v>204</v>
      </c>
      <c r="AK139" s="693" t="s">
        <v>1152</v>
      </c>
      <c r="AL139" s="693" t="s">
        <v>44</v>
      </c>
      <c r="AM139" s="99">
        <v>1</v>
      </c>
      <c r="AN139" s="693" t="str">
        <f>+AB139</f>
        <v>Estructuración y elaboración del Plan Estratégico de TI</v>
      </c>
      <c r="AO139" s="703">
        <f t="shared" si="266"/>
        <v>305665660.84805673</v>
      </c>
      <c r="AP139" s="700" t="s">
        <v>46</v>
      </c>
      <c r="AQ139" s="171">
        <f>0/3</f>
        <v>0</v>
      </c>
      <c r="AR139" s="693" t="str">
        <f t="shared" si="267"/>
        <v>Estructuración y elaboración del Plan Estratégico de TI</v>
      </c>
      <c r="AS139" s="701">
        <f>+AO139*0</f>
        <v>0</v>
      </c>
      <c r="AT139" s="695">
        <v>0</v>
      </c>
      <c r="AU139" s="701">
        <v>0</v>
      </c>
      <c r="AV139" s="690" t="e">
        <f t="shared" si="242"/>
        <v>#DIV/0!</v>
      </c>
      <c r="AW139" s="690" t="e">
        <f t="shared" si="243"/>
        <v>#DIV/0!</v>
      </c>
      <c r="AX139" s="690">
        <f t="shared" si="244"/>
        <v>0</v>
      </c>
      <c r="AY139" s="690">
        <f t="shared" si="245"/>
        <v>0</v>
      </c>
      <c r="AZ139" s="484" t="s">
        <v>1323</v>
      </c>
      <c r="BA139" s="171">
        <f>0/3</f>
        <v>0</v>
      </c>
      <c r="BB139" s="693" t="str">
        <f t="shared" si="268"/>
        <v>Estructuración y elaboración del Plan Estratégico de TI</v>
      </c>
      <c r="BC139" s="701">
        <v>0</v>
      </c>
      <c r="BD139" s="858">
        <v>0</v>
      </c>
      <c r="BE139" s="701">
        <v>0</v>
      </c>
      <c r="BF139" s="690" t="e">
        <f t="shared" si="246"/>
        <v>#DIV/0!</v>
      </c>
      <c r="BG139" s="690" t="e">
        <f t="shared" si="247"/>
        <v>#DIV/0!</v>
      </c>
      <c r="BH139" s="690">
        <f t="shared" si="248"/>
        <v>0</v>
      </c>
      <c r="BI139" s="690">
        <f t="shared" si="249"/>
        <v>0</v>
      </c>
      <c r="BJ139" s="516" t="s">
        <v>1681</v>
      </c>
      <c r="BK139" s="171">
        <v>0</v>
      </c>
      <c r="BL139" s="693" t="str">
        <f t="shared" si="269"/>
        <v>Estructuración y elaboración del Plan Estratégico de TI</v>
      </c>
      <c r="BM139" s="701">
        <f>+AC139*0.67</f>
        <v>204795992.76819801</v>
      </c>
      <c r="BN139" s="695"/>
      <c r="BO139" s="695"/>
      <c r="BP139" s="690" t="e">
        <f t="shared" si="250"/>
        <v>#DIV/0!</v>
      </c>
      <c r="BQ139" s="690">
        <f t="shared" si="251"/>
        <v>0</v>
      </c>
      <c r="BR139" s="690">
        <f t="shared" si="252"/>
        <v>0</v>
      </c>
      <c r="BS139" s="690">
        <f t="shared" si="253"/>
        <v>0</v>
      </c>
      <c r="BT139" s="690"/>
      <c r="BU139" s="171">
        <v>1</v>
      </c>
      <c r="BV139" s="693" t="str">
        <f t="shared" si="270"/>
        <v>Estructuración y elaboración del Plan Estratégico de TI</v>
      </c>
      <c r="BW139" s="701">
        <f>+AC139*0.33</f>
        <v>100869668.07985872</v>
      </c>
      <c r="BX139" s="695"/>
      <c r="BY139" s="695"/>
      <c r="BZ139" s="698">
        <f t="shared" si="254"/>
        <v>0</v>
      </c>
      <c r="CA139" s="698">
        <f t="shared" si="255"/>
        <v>0</v>
      </c>
      <c r="CB139" s="698">
        <f t="shared" si="256"/>
        <v>0</v>
      </c>
      <c r="CC139" s="698">
        <f t="shared" si="257"/>
        <v>0</v>
      </c>
      <c r="CD139" s="698"/>
      <c r="CE139" s="697" t="str">
        <f t="shared" si="258"/>
        <v>No Prog ni Ejec</v>
      </c>
      <c r="CF139" s="697" t="str">
        <f t="shared" si="259"/>
        <v>No Prog ni Ejec</v>
      </c>
      <c r="CG139" s="697" t="str">
        <f t="shared" si="260"/>
        <v>No Prog ni Ejec</v>
      </c>
      <c r="CH139" s="697" t="str">
        <f t="shared" si="261"/>
        <v>No Prog ni Ejec</v>
      </c>
      <c r="CI139" s="697" t="str">
        <f t="shared" si="262"/>
        <v>No Prog ni Ejec</v>
      </c>
      <c r="CJ139" s="697">
        <f t="shared" si="263"/>
        <v>0</v>
      </c>
      <c r="CK139" s="697">
        <f t="shared" si="264"/>
        <v>0</v>
      </c>
      <c r="CL139" s="786">
        <f t="shared" si="265"/>
        <v>0</v>
      </c>
      <c r="CM139" s="136">
        <f t="shared" si="271"/>
        <v>0</v>
      </c>
      <c r="CZ139" s="70">
        <v>9</v>
      </c>
    </row>
    <row r="140" spans="1:107" s="70" customFormat="1" ht="163.5" hidden="1" customHeight="1" x14ac:dyDescent="0.2">
      <c r="A140" s="785">
        <v>11600</v>
      </c>
      <c r="B140" s="693" t="s">
        <v>4</v>
      </c>
      <c r="C140" s="693" t="s">
        <v>330</v>
      </c>
      <c r="D140" s="129"/>
      <c r="E140" s="129" t="s">
        <v>1023</v>
      </c>
      <c r="F140" s="129" t="s">
        <v>1023</v>
      </c>
      <c r="G140" s="129"/>
      <c r="H140" s="129"/>
      <c r="I140" s="129"/>
      <c r="J140" s="129"/>
      <c r="K140" s="129"/>
      <c r="L140" s="129"/>
      <c r="M140" s="129"/>
      <c r="N140" s="129"/>
      <c r="O140" s="129"/>
      <c r="P140" s="129"/>
      <c r="Q140" s="693" t="s">
        <v>204</v>
      </c>
      <c r="R140" s="693" t="s">
        <v>204</v>
      </c>
      <c r="S140" s="695" t="s">
        <v>100</v>
      </c>
      <c r="T140" s="693" t="s">
        <v>94</v>
      </c>
      <c r="U140" s="693" t="s">
        <v>204</v>
      </c>
      <c r="V140" s="693" t="s">
        <v>204</v>
      </c>
      <c r="W140" s="695" t="s">
        <v>575</v>
      </c>
      <c r="X140" s="693" t="s">
        <v>406</v>
      </c>
      <c r="Y140" s="716" t="s">
        <v>51</v>
      </c>
      <c r="Z140" s="167">
        <v>1</v>
      </c>
      <c r="AA140" s="695" t="s">
        <v>574</v>
      </c>
      <c r="AB140" s="693" t="s">
        <v>349</v>
      </c>
      <c r="AC140" s="701">
        <v>125768769.569883</v>
      </c>
      <c r="AD140" s="706">
        <v>1</v>
      </c>
      <c r="AE140" s="693" t="s">
        <v>17</v>
      </c>
      <c r="AF140" s="693" t="s">
        <v>27</v>
      </c>
      <c r="AG140" s="693" t="s">
        <v>204</v>
      </c>
      <c r="AH140" s="693" t="s">
        <v>638</v>
      </c>
      <c r="AI140" s="693" t="s">
        <v>82</v>
      </c>
      <c r="AJ140" s="693" t="s">
        <v>1275</v>
      </c>
      <c r="AK140" s="693" t="s">
        <v>429</v>
      </c>
      <c r="AL140" s="693" t="s">
        <v>44</v>
      </c>
      <c r="AM140" s="170">
        <v>1</v>
      </c>
      <c r="AN140" s="693" t="str">
        <f t="shared" ref="AN140:AN151" si="272">+AB140</f>
        <v>Contratar el servicio de documentación de los servicios TI y Sistemas de Información</v>
      </c>
      <c r="AO140" s="703">
        <f t="shared" si="266"/>
        <v>125768769.569883</v>
      </c>
      <c r="AP140" s="700" t="s">
        <v>46</v>
      </c>
      <c r="AQ140" s="167">
        <v>0</v>
      </c>
      <c r="AR140" s="693" t="str">
        <f t="shared" si="267"/>
        <v>Contratar el servicio de documentación de los servicios TI y Sistemas de Información</v>
      </c>
      <c r="AS140" s="701">
        <f>+AO140*0</f>
        <v>0</v>
      </c>
      <c r="AT140" s="167">
        <v>0</v>
      </c>
      <c r="AU140" s="701">
        <v>0</v>
      </c>
      <c r="AV140" s="690" t="e">
        <f t="shared" si="242"/>
        <v>#DIV/0!</v>
      </c>
      <c r="AW140" s="690" t="e">
        <f t="shared" si="243"/>
        <v>#DIV/0!</v>
      </c>
      <c r="AX140" s="690">
        <f t="shared" si="244"/>
        <v>0</v>
      </c>
      <c r="AY140" s="690">
        <f t="shared" si="245"/>
        <v>0</v>
      </c>
      <c r="AZ140" s="484" t="s">
        <v>1323</v>
      </c>
      <c r="BA140" s="167">
        <v>0</v>
      </c>
      <c r="BB140" s="693" t="str">
        <f t="shared" si="268"/>
        <v>Contratar el servicio de documentación de los servicios TI y Sistemas de Información</v>
      </c>
      <c r="BC140" s="701">
        <v>0</v>
      </c>
      <c r="BD140" s="767">
        <v>0</v>
      </c>
      <c r="BE140" s="701">
        <v>0</v>
      </c>
      <c r="BF140" s="690" t="e">
        <f t="shared" si="246"/>
        <v>#DIV/0!</v>
      </c>
      <c r="BG140" s="690" t="e">
        <f t="shared" si="247"/>
        <v>#DIV/0!</v>
      </c>
      <c r="BH140" s="690">
        <f t="shared" si="248"/>
        <v>0</v>
      </c>
      <c r="BI140" s="690">
        <f t="shared" si="249"/>
        <v>0</v>
      </c>
      <c r="BJ140" s="516" t="s">
        <v>1681</v>
      </c>
      <c r="BK140" s="167">
        <v>0.2</v>
      </c>
      <c r="BL140" s="693" t="str">
        <f t="shared" si="269"/>
        <v>Contratar el servicio de documentación de los servicios TI y Sistemas de Información</v>
      </c>
      <c r="BM140" s="701">
        <f>+AC140*0.6</f>
        <v>75461261.741929799</v>
      </c>
      <c r="BN140" s="695"/>
      <c r="BO140" s="695"/>
      <c r="BP140" s="690">
        <f t="shared" si="250"/>
        <v>0</v>
      </c>
      <c r="BQ140" s="690">
        <f t="shared" si="251"/>
        <v>0</v>
      </c>
      <c r="BR140" s="690">
        <f t="shared" si="252"/>
        <v>0</v>
      </c>
      <c r="BS140" s="690">
        <f t="shared" si="253"/>
        <v>0</v>
      </c>
      <c r="BT140" s="690"/>
      <c r="BU140" s="170">
        <v>0.8</v>
      </c>
      <c r="BV140" s="693" t="str">
        <f t="shared" si="270"/>
        <v>Contratar el servicio de documentación de los servicios TI y Sistemas de Información</v>
      </c>
      <c r="BW140" s="701">
        <f>+AC140*0.4</f>
        <v>50307507.827953205</v>
      </c>
      <c r="BX140" s="695"/>
      <c r="BY140" s="695"/>
      <c r="BZ140" s="698">
        <f t="shared" si="254"/>
        <v>0</v>
      </c>
      <c r="CA140" s="698">
        <f t="shared" si="255"/>
        <v>0</v>
      </c>
      <c r="CB140" s="698">
        <f t="shared" si="256"/>
        <v>0</v>
      </c>
      <c r="CC140" s="698">
        <f t="shared" si="257"/>
        <v>0</v>
      </c>
      <c r="CD140" s="698"/>
      <c r="CE140" s="697" t="str">
        <f t="shared" si="258"/>
        <v>No Prog ni Ejec</v>
      </c>
      <c r="CF140" s="697" t="str">
        <f t="shared" si="259"/>
        <v>No Prog ni Ejec</v>
      </c>
      <c r="CG140" s="697" t="str">
        <f t="shared" si="260"/>
        <v>No Prog ni Ejec</v>
      </c>
      <c r="CH140" s="697" t="str">
        <f t="shared" si="261"/>
        <v>No Prog ni Ejec</v>
      </c>
      <c r="CI140" s="697">
        <f t="shared" si="262"/>
        <v>0</v>
      </c>
      <c r="CJ140" s="697">
        <f t="shared" si="263"/>
        <v>0</v>
      </c>
      <c r="CK140" s="697">
        <f t="shared" si="264"/>
        <v>0</v>
      </c>
      <c r="CL140" s="786">
        <f t="shared" si="265"/>
        <v>0</v>
      </c>
      <c r="CM140" s="136">
        <f t="shared" si="271"/>
        <v>0</v>
      </c>
      <c r="CW140" s="125">
        <v>6</v>
      </c>
    </row>
    <row r="141" spans="1:107" s="70" customFormat="1" ht="210" hidden="1" x14ac:dyDescent="0.2">
      <c r="A141" s="785">
        <v>11600</v>
      </c>
      <c r="B141" s="693" t="s">
        <v>4</v>
      </c>
      <c r="C141" s="693" t="s">
        <v>336</v>
      </c>
      <c r="D141" s="129" t="s">
        <v>1023</v>
      </c>
      <c r="E141" s="129"/>
      <c r="F141" s="129"/>
      <c r="G141" s="129"/>
      <c r="H141" s="129"/>
      <c r="I141" s="129"/>
      <c r="J141" s="129"/>
      <c r="K141" s="129"/>
      <c r="L141" s="129"/>
      <c r="M141" s="129"/>
      <c r="N141" s="129"/>
      <c r="O141" s="129"/>
      <c r="P141" s="129"/>
      <c r="Q141" s="693" t="s">
        <v>1134</v>
      </c>
      <c r="R141" s="693" t="s">
        <v>1140</v>
      </c>
      <c r="S141" s="695" t="s">
        <v>100</v>
      </c>
      <c r="T141" s="693" t="s">
        <v>94</v>
      </c>
      <c r="U141" s="693" t="s">
        <v>204</v>
      </c>
      <c r="V141" s="693" t="s">
        <v>204</v>
      </c>
      <c r="W141" s="695" t="s">
        <v>1116</v>
      </c>
      <c r="X141" s="693" t="s">
        <v>1061</v>
      </c>
      <c r="Y141" s="716" t="s">
        <v>391</v>
      </c>
      <c r="Z141" s="66">
        <v>3</v>
      </c>
      <c r="AA141" s="695" t="s">
        <v>1106</v>
      </c>
      <c r="AB141" s="693" t="s">
        <v>1060</v>
      </c>
      <c r="AC141" s="691">
        <v>0</v>
      </c>
      <c r="AD141" s="706">
        <v>1</v>
      </c>
      <c r="AE141" s="693" t="s">
        <v>17</v>
      </c>
      <c r="AF141" s="693" t="s">
        <v>295</v>
      </c>
      <c r="AG141" s="693" t="s">
        <v>204</v>
      </c>
      <c r="AH141" s="693" t="s">
        <v>638</v>
      </c>
      <c r="AI141" s="693" t="s">
        <v>1051</v>
      </c>
      <c r="AJ141" s="693" t="s">
        <v>1286</v>
      </c>
      <c r="AK141" s="693" t="s">
        <v>1062</v>
      </c>
      <c r="AL141" s="693" t="s">
        <v>204</v>
      </c>
      <c r="AM141" s="67">
        <v>3</v>
      </c>
      <c r="AN141" s="693" t="str">
        <f>+AB141</f>
        <v>Realizar reuniones de autocontrol y seguimiento a los procesos que evidencien el monitoreo a los riesgos, indicadores, planes de mejoramiento, manuales y documentos asociados</v>
      </c>
      <c r="AO141" s="703">
        <f t="shared" si="266"/>
        <v>0</v>
      </c>
      <c r="AP141" s="700" t="s">
        <v>48</v>
      </c>
      <c r="AQ141" s="67">
        <v>0</v>
      </c>
      <c r="AR141" s="693" t="str">
        <f t="shared" si="267"/>
        <v>Realizar reuniones de autocontrol y seguimiento a los procesos que evidencien el monitoreo a los riesgos, indicadores, planes de mejoramiento, manuales y documentos asociados</v>
      </c>
      <c r="AS141" s="691">
        <f>+AO141/4</f>
        <v>0</v>
      </c>
      <c r="AT141" s="695">
        <v>0</v>
      </c>
      <c r="AU141" s="701">
        <v>0</v>
      </c>
      <c r="AV141" s="690" t="e">
        <f t="shared" si="242"/>
        <v>#DIV/0!</v>
      </c>
      <c r="AW141" s="690" t="e">
        <f t="shared" si="243"/>
        <v>#DIV/0!</v>
      </c>
      <c r="AX141" s="690">
        <f t="shared" si="244"/>
        <v>0</v>
      </c>
      <c r="AY141" s="690" t="e">
        <f t="shared" si="245"/>
        <v>#DIV/0!</v>
      </c>
      <c r="AZ141" s="484" t="s">
        <v>1323</v>
      </c>
      <c r="BA141" s="67">
        <v>1</v>
      </c>
      <c r="BB141" s="693" t="str">
        <f t="shared" si="268"/>
        <v>Realizar reuniones de autocontrol y seguimiento a los procesos que evidencien el monitoreo a los riesgos, indicadores, planes de mejoramiento, manuales y documentos asociados</v>
      </c>
      <c r="BC141" s="691">
        <f>+AO141/4</f>
        <v>0</v>
      </c>
      <c r="BD141" s="854">
        <v>1</v>
      </c>
      <c r="BE141" s="701">
        <v>0</v>
      </c>
      <c r="BF141" s="690">
        <f t="shared" si="246"/>
        <v>1</v>
      </c>
      <c r="BG141" s="690" t="e">
        <f t="shared" si="247"/>
        <v>#DIV/0!</v>
      </c>
      <c r="BH141" s="690">
        <f t="shared" si="248"/>
        <v>0.33333333333333331</v>
      </c>
      <c r="BI141" s="690" t="e">
        <f t="shared" si="249"/>
        <v>#DIV/0!</v>
      </c>
      <c r="BJ141" s="869" t="s">
        <v>1682</v>
      </c>
      <c r="BK141" s="67">
        <v>1</v>
      </c>
      <c r="BL141" s="693" t="str">
        <f t="shared" si="269"/>
        <v>Realizar reuniones de autocontrol y seguimiento a los procesos que evidencien el monitoreo a los riesgos, indicadores, planes de mejoramiento, manuales y documentos asociados</v>
      </c>
      <c r="BM141" s="691">
        <f>+AO141/4</f>
        <v>0</v>
      </c>
      <c r="BN141" s="695"/>
      <c r="BO141" s="695"/>
      <c r="BP141" s="690">
        <f t="shared" si="250"/>
        <v>0</v>
      </c>
      <c r="BQ141" s="690" t="e">
        <f t="shared" si="251"/>
        <v>#DIV/0!</v>
      </c>
      <c r="BR141" s="690">
        <f t="shared" si="252"/>
        <v>0.33333333333333331</v>
      </c>
      <c r="BS141" s="690" t="e">
        <f t="shared" si="253"/>
        <v>#DIV/0!</v>
      </c>
      <c r="BT141" s="690"/>
      <c r="BU141" s="67">
        <v>1</v>
      </c>
      <c r="BV141" s="693" t="str">
        <f t="shared" si="270"/>
        <v>Realizar reuniones de autocontrol y seguimiento a los procesos que evidencien el monitoreo a los riesgos, indicadores, planes de mejoramiento, manuales y documentos asociados</v>
      </c>
      <c r="BW141" s="691">
        <f>+AO141/4</f>
        <v>0</v>
      </c>
      <c r="BX141" s="695"/>
      <c r="BY141" s="695"/>
      <c r="BZ141" s="698">
        <f t="shared" si="254"/>
        <v>0</v>
      </c>
      <c r="CA141" s="698" t="e">
        <f t="shared" si="255"/>
        <v>#DIV/0!</v>
      </c>
      <c r="CB141" s="698">
        <f t="shared" si="256"/>
        <v>0.33333333333333331</v>
      </c>
      <c r="CC141" s="698" t="e">
        <f t="shared" si="257"/>
        <v>#DIV/0!</v>
      </c>
      <c r="CD141" s="698"/>
      <c r="CE141" s="697" t="str">
        <f t="shared" si="258"/>
        <v>No Prog ni Ejec</v>
      </c>
      <c r="CF141" s="697" t="str">
        <f t="shared" si="259"/>
        <v>No Prog ni Ejec</v>
      </c>
      <c r="CG141" s="697">
        <f t="shared" si="260"/>
        <v>1</v>
      </c>
      <c r="CH141" s="697" t="str">
        <f t="shared" si="261"/>
        <v>No Prog ni Ejec</v>
      </c>
      <c r="CI141" s="697">
        <f t="shared" si="262"/>
        <v>0</v>
      </c>
      <c r="CJ141" s="697" t="str">
        <f t="shared" si="263"/>
        <v>No Prog ni Ejec</v>
      </c>
      <c r="CK141" s="697">
        <f t="shared" si="264"/>
        <v>0</v>
      </c>
      <c r="CL141" s="786" t="str">
        <f t="shared" si="265"/>
        <v>No Prog ni Ejec</v>
      </c>
      <c r="CM141" s="136">
        <f t="shared" si="271"/>
        <v>0</v>
      </c>
      <c r="CR141" s="125">
        <v>1</v>
      </c>
      <c r="CS141" s="125"/>
      <c r="CT141" s="125"/>
      <c r="CU141" s="125"/>
      <c r="CV141" s="125"/>
      <c r="CW141" s="125"/>
      <c r="CX141" s="125"/>
      <c r="CY141" s="125"/>
      <c r="CZ141" s="125"/>
      <c r="DA141" s="125"/>
      <c r="DB141" s="125"/>
      <c r="DC141" s="125"/>
    </row>
    <row r="142" spans="1:107" s="70" customFormat="1" ht="127.5" hidden="1" x14ac:dyDescent="0.2">
      <c r="A142" s="785">
        <v>11600</v>
      </c>
      <c r="B142" s="693" t="s">
        <v>4</v>
      </c>
      <c r="C142" s="724" t="s">
        <v>336</v>
      </c>
      <c r="D142" s="177" t="s">
        <v>1023</v>
      </c>
      <c r="E142" s="177"/>
      <c r="F142" s="177"/>
      <c r="G142" s="177"/>
      <c r="H142" s="177"/>
      <c r="I142" s="177"/>
      <c r="J142" s="177"/>
      <c r="K142" s="177"/>
      <c r="L142" s="177"/>
      <c r="M142" s="177"/>
      <c r="N142" s="177"/>
      <c r="O142" s="177"/>
      <c r="P142" s="177"/>
      <c r="Q142" s="724" t="s">
        <v>1137</v>
      </c>
      <c r="R142" s="724" t="s">
        <v>1142</v>
      </c>
      <c r="S142" s="695" t="s">
        <v>100</v>
      </c>
      <c r="T142" s="724" t="s">
        <v>94</v>
      </c>
      <c r="U142" s="693" t="s">
        <v>204</v>
      </c>
      <c r="V142" s="693" t="s">
        <v>204</v>
      </c>
      <c r="W142" s="695" t="s">
        <v>1117</v>
      </c>
      <c r="X142" s="724" t="s">
        <v>510</v>
      </c>
      <c r="Y142" s="100" t="s">
        <v>391</v>
      </c>
      <c r="Z142" s="168">
        <v>1</v>
      </c>
      <c r="AA142" s="695" t="s">
        <v>1107</v>
      </c>
      <c r="AB142" s="693" t="s">
        <v>631</v>
      </c>
      <c r="AC142" s="691">
        <v>0</v>
      </c>
      <c r="AD142" s="706">
        <v>1</v>
      </c>
      <c r="AE142" s="693" t="s">
        <v>17</v>
      </c>
      <c r="AF142" s="693" t="s">
        <v>23</v>
      </c>
      <c r="AG142" s="693" t="s">
        <v>204</v>
      </c>
      <c r="AH142" s="693" t="s">
        <v>638</v>
      </c>
      <c r="AI142" s="693" t="s">
        <v>82</v>
      </c>
      <c r="AJ142" s="693" t="s">
        <v>1287</v>
      </c>
      <c r="AK142" s="693" t="s">
        <v>513</v>
      </c>
      <c r="AL142" s="693" t="s">
        <v>42</v>
      </c>
      <c r="AM142" s="168">
        <v>1</v>
      </c>
      <c r="AN142" s="693" t="str">
        <f t="shared" si="272"/>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2" s="72">
        <f t="shared" si="266"/>
        <v>0</v>
      </c>
      <c r="AP142" s="700" t="s">
        <v>48</v>
      </c>
      <c r="AQ142" s="168">
        <v>1</v>
      </c>
      <c r="AR142" s="693" t="str">
        <f t="shared" si="267"/>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2" s="691">
        <v>0</v>
      </c>
      <c r="AT142" s="695">
        <v>1</v>
      </c>
      <c r="AU142" s="701">
        <v>0</v>
      </c>
      <c r="AV142" s="690">
        <f t="shared" si="242"/>
        <v>1</v>
      </c>
      <c r="AW142" s="690" t="e">
        <f t="shared" si="243"/>
        <v>#DIV/0!</v>
      </c>
      <c r="AX142" s="690">
        <f t="shared" si="244"/>
        <v>1</v>
      </c>
      <c r="AY142" s="690" t="e">
        <f t="shared" si="245"/>
        <v>#DIV/0!</v>
      </c>
      <c r="AZ142" s="484" t="s">
        <v>1777</v>
      </c>
      <c r="BA142" s="179">
        <v>0</v>
      </c>
      <c r="BB142" s="693" t="str">
        <f t="shared" si="268"/>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2" s="691">
        <v>0</v>
      </c>
      <c r="BD142" s="855">
        <v>0</v>
      </c>
      <c r="BE142" s="701">
        <v>0</v>
      </c>
      <c r="BF142" s="690" t="e">
        <f t="shared" si="246"/>
        <v>#DIV/0!</v>
      </c>
      <c r="BG142" s="690" t="e">
        <f t="shared" si="247"/>
        <v>#DIV/0!</v>
      </c>
      <c r="BH142" s="690">
        <f t="shared" si="248"/>
        <v>1</v>
      </c>
      <c r="BI142" s="690" t="e">
        <f t="shared" si="249"/>
        <v>#DIV/0!</v>
      </c>
      <c r="BJ142" s="869" t="s">
        <v>1683</v>
      </c>
      <c r="BK142" s="179">
        <v>0</v>
      </c>
      <c r="BL142" s="693" t="str">
        <f t="shared" si="269"/>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2" s="691">
        <v>0</v>
      </c>
      <c r="BN142" s="695"/>
      <c r="BO142" s="695"/>
      <c r="BP142" s="690" t="e">
        <f t="shared" ref="BP142:BP147" si="273">+(BN142/BK142)</f>
        <v>#DIV/0!</v>
      </c>
      <c r="BQ142" s="690" t="e">
        <f t="shared" ref="BQ142:BQ147" si="274">+(BO142/BM142)</f>
        <v>#DIV/0!</v>
      </c>
      <c r="BR142" s="690">
        <f t="shared" ref="BR142:BR147" si="275">+(BD142+AT142+BN142)/AM142</f>
        <v>1</v>
      </c>
      <c r="BS142" s="690" t="e">
        <f t="shared" ref="BS142:BS147" si="276">+(BE142+AU142+BO142)/AO142</f>
        <v>#DIV/0!</v>
      </c>
      <c r="BT142" s="690"/>
      <c r="BU142" s="179">
        <v>0</v>
      </c>
      <c r="BV142" s="693" t="str">
        <f t="shared" si="270"/>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2" s="691">
        <v>0</v>
      </c>
      <c r="BX142" s="695"/>
      <c r="BY142" s="695"/>
      <c r="BZ142" s="698" t="e">
        <f t="shared" ref="BZ142:BZ148" si="277">+(BX142/BU142)</f>
        <v>#DIV/0!</v>
      </c>
      <c r="CA142" s="698" t="e">
        <f t="shared" ref="CA142:CA148" si="278">+(BY142/BW142)</f>
        <v>#DIV/0!</v>
      </c>
      <c r="CB142" s="698">
        <f t="shared" ref="CB142:CB148" si="279">+(BD142+AT142+BN142+BX142)/AM142</f>
        <v>1</v>
      </c>
      <c r="CC142" s="698" t="e">
        <f t="shared" ref="CC142:CC148" si="280">+(BE142+AU142+BO142+BY142)/AO142</f>
        <v>#DIV/0!</v>
      </c>
      <c r="CD142" s="698"/>
      <c r="CE142" s="697">
        <f t="shared" ref="CE142:CE148" si="281">IF(AND(AQ142=0,AT142=0),"No Prog ni Ejec",IF(AQ142=0,CONCATENATE("No Prog, Ejec=  ",AT142),AT142/AQ142))</f>
        <v>1</v>
      </c>
      <c r="CF142" s="697" t="str">
        <f t="shared" ref="CF142:CF148" si="282">IF(AND(AS142=0,AU142=0),"No Prog ni Ejec",IF(AS142=0,CONCATENATE("No Prog, Ejec=  ",AU142),AU142/AS142))</f>
        <v>No Prog ni Ejec</v>
      </c>
      <c r="CG142" s="697" t="str">
        <f t="shared" ref="CG142:CG148" si="283">IF(AND(BA142=0,BD142=0),"No Prog ni Ejec",IF(BA142=0,CONCATENATE("No Prog, Ejec=  ",BD142),BD142/BA142))</f>
        <v>No Prog ni Ejec</v>
      </c>
      <c r="CH142" s="697" t="str">
        <f t="shared" ref="CH142:CH148" si="284">IF(AND(BC142=0,BE142=0),"No Prog ni Ejec",IF(BC142=0,CONCATENATE("No Prog, Ejec=  ",BE142),BE142/BC142))</f>
        <v>No Prog ni Ejec</v>
      </c>
      <c r="CI142" s="697" t="str">
        <f t="shared" ref="CI142:CI148" si="285">IF(AND(BK142=0,BN142=0),"No Prog ni Ejec",IF(BK142=0,CONCATENATE("No Prog, Ejec=  ",BN142),BN142/BK142))</f>
        <v>No Prog ni Ejec</v>
      </c>
      <c r="CJ142" s="697" t="str">
        <f t="shared" ref="CJ142:CJ148" si="286">IF(AND(BM142=0,BO142=0),"No Prog ni Ejec",IF(BM142=0,CONCATENATE("No Prog, Ejec=  ",BO142),BO142/BM142))</f>
        <v>No Prog ni Ejec</v>
      </c>
      <c r="CK142" s="697" t="str">
        <f t="shared" ref="CK142:CK148" si="287">IF(AND(BU142=0,BX142=0),"No Prog ni Ejec",IF(BU142=0,CONCATENATE("No Prog, Ejec=  ",BX142),BX142/BU142))</f>
        <v>No Prog ni Ejec</v>
      </c>
      <c r="CL142" s="786" t="str">
        <f t="shared" ref="CL142:CL148" si="288">IF(AND(BW142=0,BY142=0),"No Prog ni Ejec",IF(BW142=0,CONCATENATE("No Prog, Ejec=  ",BY142),BY142/BW142))</f>
        <v>No Prog ni Ejec</v>
      </c>
      <c r="CM142" s="136">
        <f t="shared" si="271"/>
        <v>0</v>
      </c>
      <c r="CR142" s="125">
        <v>1</v>
      </c>
      <c r="CS142" s="125"/>
      <c r="CT142" s="125"/>
      <c r="CU142" s="125"/>
      <c r="CV142" s="125"/>
      <c r="CW142" s="125"/>
      <c r="CX142" s="125"/>
      <c r="CY142" s="125"/>
      <c r="CZ142" s="125"/>
      <c r="DA142" s="125"/>
      <c r="DB142" s="125"/>
      <c r="DC142" s="125"/>
    </row>
    <row r="143" spans="1:107" s="70" customFormat="1" ht="229.5" hidden="1" customHeight="1" x14ac:dyDescent="0.2">
      <c r="A143" s="785">
        <v>11600</v>
      </c>
      <c r="B143" s="693" t="s">
        <v>4</v>
      </c>
      <c r="C143" s="724" t="s">
        <v>509</v>
      </c>
      <c r="D143" s="177" t="s">
        <v>1023</v>
      </c>
      <c r="E143" s="177"/>
      <c r="F143" s="177"/>
      <c r="G143" s="177"/>
      <c r="H143" s="177"/>
      <c r="I143" s="177"/>
      <c r="J143" s="177"/>
      <c r="K143" s="177"/>
      <c r="L143" s="177"/>
      <c r="M143" s="177"/>
      <c r="N143" s="177"/>
      <c r="O143" s="177" t="s">
        <v>1023</v>
      </c>
      <c r="P143" s="177" t="s">
        <v>1023</v>
      </c>
      <c r="Q143" s="693" t="s">
        <v>1134</v>
      </c>
      <c r="R143" s="724" t="s">
        <v>1645</v>
      </c>
      <c r="S143" s="695" t="s">
        <v>100</v>
      </c>
      <c r="T143" s="724" t="s">
        <v>94</v>
      </c>
      <c r="U143" s="693" t="s">
        <v>204</v>
      </c>
      <c r="V143" s="693" t="s">
        <v>204</v>
      </c>
      <c r="W143" s="695" t="s">
        <v>1118</v>
      </c>
      <c r="X143" s="724" t="s">
        <v>511</v>
      </c>
      <c r="Y143" s="100" t="s">
        <v>391</v>
      </c>
      <c r="Z143" s="168">
        <v>1</v>
      </c>
      <c r="AA143" s="695" t="s">
        <v>1108</v>
      </c>
      <c r="AB143" s="724" t="s">
        <v>512</v>
      </c>
      <c r="AC143" s="691">
        <v>0</v>
      </c>
      <c r="AD143" s="706">
        <v>1</v>
      </c>
      <c r="AE143" s="693" t="s">
        <v>17</v>
      </c>
      <c r="AF143" s="693" t="s">
        <v>295</v>
      </c>
      <c r="AG143" s="693" t="s">
        <v>204</v>
      </c>
      <c r="AH143" s="693" t="s">
        <v>638</v>
      </c>
      <c r="AI143" s="693" t="s">
        <v>1045</v>
      </c>
      <c r="AJ143" s="693" t="s">
        <v>204</v>
      </c>
      <c r="AK143" s="724" t="s">
        <v>514</v>
      </c>
      <c r="AL143" s="693" t="s">
        <v>204</v>
      </c>
      <c r="AM143" s="168">
        <v>1</v>
      </c>
      <c r="AN143" s="693" t="str">
        <f t="shared" si="272"/>
        <v>Actualizar de manera colaborativa la Política del Sistema Integrado de Administración de Riesgos de la ADRES.</v>
      </c>
      <c r="AO143" s="72">
        <f t="shared" si="266"/>
        <v>0</v>
      </c>
      <c r="AP143" s="700" t="s">
        <v>48</v>
      </c>
      <c r="AQ143" s="179">
        <v>0</v>
      </c>
      <c r="AR143" s="693" t="str">
        <f t="shared" si="267"/>
        <v>Actualizar de manera colaborativa la Política del Sistema Integrado de Administración de Riesgos de la ADRES.</v>
      </c>
      <c r="AS143" s="722">
        <f>+AO143*0</f>
        <v>0</v>
      </c>
      <c r="AT143" s="695">
        <v>0</v>
      </c>
      <c r="AU143" s="701">
        <v>0</v>
      </c>
      <c r="AV143" s="690" t="e">
        <f t="shared" si="242"/>
        <v>#DIV/0!</v>
      </c>
      <c r="AW143" s="690" t="e">
        <f t="shared" si="243"/>
        <v>#DIV/0!</v>
      </c>
      <c r="AX143" s="690">
        <f t="shared" si="244"/>
        <v>0</v>
      </c>
      <c r="AY143" s="690" t="e">
        <f t="shared" si="245"/>
        <v>#DIV/0!</v>
      </c>
      <c r="AZ143" s="484" t="s">
        <v>1323</v>
      </c>
      <c r="BA143" s="168">
        <v>1</v>
      </c>
      <c r="BB143" s="693" t="str">
        <f t="shared" si="268"/>
        <v>Actualizar de manera colaborativa la Política del Sistema Integrado de Administración de Riesgos de la ADRES.</v>
      </c>
      <c r="BC143" s="722">
        <v>0</v>
      </c>
      <c r="BD143" s="855">
        <v>0</v>
      </c>
      <c r="BE143" s="701">
        <v>0</v>
      </c>
      <c r="BF143" s="690">
        <f t="shared" si="246"/>
        <v>0</v>
      </c>
      <c r="BG143" s="690" t="e">
        <f t="shared" si="247"/>
        <v>#DIV/0!</v>
      </c>
      <c r="BH143" s="690">
        <f t="shared" si="248"/>
        <v>0</v>
      </c>
      <c r="BI143" s="690" t="e">
        <f t="shared" si="249"/>
        <v>#DIV/0!</v>
      </c>
      <c r="BJ143" s="516" t="s">
        <v>1684</v>
      </c>
      <c r="BK143" s="179">
        <v>0</v>
      </c>
      <c r="BL143" s="693" t="str">
        <f t="shared" si="269"/>
        <v>Actualizar de manera colaborativa la Política del Sistema Integrado de Administración de Riesgos de la ADRES.</v>
      </c>
      <c r="BM143" s="722">
        <v>0</v>
      </c>
      <c r="BN143" s="695"/>
      <c r="BO143" s="695"/>
      <c r="BP143" s="690" t="e">
        <f t="shared" si="273"/>
        <v>#DIV/0!</v>
      </c>
      <c r="BQ143" s="690" t="e">
        <f t="shared" si="274"/>
        <v>#DIV/0!</v>
      </c>
      <c r="BR143" s="690">
        <f t="shared" si="275"/>
        <v>0</v>
      </c>
      <c r="BS143" s="690" t="e">
        <f t="shared" si="276"/>
        <v>#DIV/0!</v>
      </c>
      <c r="BT143" s="690"/>
      <c r="BU143" s="179">
        <v>0</v>
      </c>
      <c r="BV143" s="693" t="str">
        <f t="shared" si="270"/>
        <v>Actualizar de manera colaborativa la Política del Sistema Integrado de Administración de Riesgos de la ADRES.</v>
      </c>
      <c r="BW143" s="172">
        <v>0</v>
      </c>
      <c r="BX143" s="695"/>
      <c r="BY143" s="695"/>
      <c r="BZ143" s="698" t="e">
        <f t="shared" si="277"/>
        <v>#DIV/0!</v>
      </c>
      <c r="CA143" s="698" t="e">
        <f t="shared" si="278"/>
        <v>#DIV/0!</v>
      </c>
      <c r="CB143" s="698">
        <f t="shared" si="279"/>
        <v>0</v>
      </c>
      <c r="CC143" s="698" t="e">
        <f t="shared" si="280"/>
        <v>#DIV/0!</v>
      </c>
      <c r="CD143" s="698"/>
      <c r="CE143" s="697" t="str">
        <f t="shared" si="281"/>
        <v>No Prog ni Ejec</v>
      </c>
      <c r="CF143" s="697" t="str">
        <f t="shared" si="282"/>
        <v>No Prog ni Ejec</v>
      </c>
      <c r="CG143" s="697">
        <f t="shared" si="283"/>
        <v>0</v>
      </c>
      <c r="CH143" s="697" t="str">
        <f t="shared" si="284"/>
        <v>No Prog ni Ejec</v>
      </c>
      <c r="CI143" s="697" t="str">
        <f t="shared" si="285"/>
        <v>No Prog ni Ejec</v>
      </c>
      <c r="CJ143" s="697" t="str">
        <f t="shared" si="286"/>
        <v>No Prog ni Ejec</v>
      </c>
      <c r="CK143" s="697" t="str">
        <f t="shared" si="287"/>
        <v>No Prog ni Ejec</v>
      </c>
      <c r="CL143" s="786" t="str">
        <f t="shared" si="288"/>
        <v>No Prog ni Ejec</v>
      </c>
      <c r="CM143" s="136">
        <f t="shared" si="271"/>
        <v>0</v>
      </c>
      <c r="CR143" s="125" t="s">
        <v>1023</v>
      </c>
      <c r="CS143" s="125" t="s">
        <v>1023</v>
      </c>
      <c r="CT143" s="125" t="s">
        <v>1023</v>
      </c>
      <c r="CU143" s="125"/>
      <c r="CV143" s="125"/>
      <c r="CW143" s="125"/>
      <c r="CX143" s="125"/>
      <c r="CY143" s="125"/>
      <c r="CZ143" s="125"/>
      <c r="DA143" s="125"/>
      <c r="DB143" s="125"/>
      <c r="DC143" s="125"/>
    </row>
    <row r="144" spans="1:107" s="70" customFormat="1" ht="204" hidden="1" x14ac:dyDescent="0.2">
      <c r="A144" s="785">
        <v>11600</v>
      </c>
      <c r="B144" s="693" t="s">
        <v>4</v>
      </c>
      <c r="C144" s="724" t="s">
        <v>509</v>
      </c>
      <c r="D144" s="177" t="s">
        <v>1023</v>
      </c>
      <c r="E144" s="177"/>
      <c r="F144" s="177"/>
      <c r="G144" s="177"/>
      <c r="H144" s="177"/>
      <c r="I144" s="177"/>
      <c r="J144" s="177"/>
      <c r="K144" s="177"/>
      <c r="L144" s="177"/>
      <c r="M144" s="177"/>
      <c r="N144" s="177"/>
      <c r="O144" s="177" t="s">
        <v>1023</v>
      </c>
      <c r="P144" s="177" t="s">
        <v>1023</v>
      </c>
      <c r="Q144" s="693" t="s">
        <v>1134</v>
      </c>
      <c r="R144" s="724" t="s">
        <v>1146</v>
      </c>
      <c r="S144" s="695" t="s">
        <v>100</v>
      </c>
      <c r="T144" s="724" t="s">
        <v>94</v>
      </c>
      <c r="U144" s="693" t="s">
        <v>204</v>
      </c>
      <c r="V144" s="693" t="s">
        <v>204</v>
      </c>
      <c r="W144" s="695" t="s">
        <v>1119</v>
      </c>
      <c r="X144" s="702" t="s">
        <v>1506</v>
      </c>
      <c r="Y144" s="100" t="s">
        <v>391</v>
      </c>
      <c r="Z144" s="604">
        <v>1</v>
      </c>
      <c r="AA144" s="695" t="s">
        <v>1109</v>
      </c>
      <c r="AB144" s="702" t="s">
        <v>1505</v>
      </c>
      <c r="AC144" s="691">
        <v>0</v>
      </c>
      <c r="AD144" s="706">
        <v>1</v>
      </c>
      <c r="AE144" s="693" t="s">
        <v>17</v>
      </c>
      <c r="AF144" s="693" t="s">
        <v>295</v>
      </c>
      <c r="AG144" s="693" t="s">
        <v>204</v>
      </c>
      <c r="AH144" s="693" t="s">
        <v>638</v>
      </c>
      <c r="AI144" s="693" t="s">
        <v>1045</v>
      </c>
      <c r="AJ144" s="693" t="s">
        <v>1278</v>
      </c>
      <c r="AK144" s="702" t="s">
        <v>1507</v>
      </c>
      <c r="AL144" s="693" t="s">
        <v>204</v>
      </c>
      <c r="AM144" s="604">
        <v>1</v>
      </c>
      <c r="AN144" s="693" t="str">
        <f t="shared" si="272"/>
        <v>Identificar los riesgos de Seguridad de la Información asociados a los “Activos de Información” de los diferentes procesos de la Entidad</v>
      </c>
      <c r="AO144" s="72">
        <f t="shared" si="266"/>
        <v>0</v>
      </c>
      <c r="AP144" s="700" t="s">
        <v>48</v>
      </c>
      <c r="AQ144" s="179">
        <v>0</v>
      </c>
      <c r="AR144" s="693" t="str">
        <f t="shared" si="267"/>
        <v>Identificar los riesgos de Seguridad de la Información asociados a los “Activos de Información” de los diferentes procesos de la Entidad</v>
      </c>
      <c r="AS144" s="722">
        <f>+AO144*0</f>
        <v>0</v>
      </c>
      <c r="AT144" s="695">
        <v>0</v>
      </c>
      <c r="AU144" s="701">
        <v>0</v>
      </c>
      <c r="AV144" s="690" t="e">
        <f t="shared" si="242"/>
        <v>#DIV/0!</v>
      </c>
      <c r="AW144" s="690" t="e">
        <f t="shared" si="243"/>
        <v>#DIV/0!</v>
      </c>
      <c r="AX144" s="690">
        <f t="shared" si="244"/>
        <v>0</v>
      </c>
      <c r="AY144" s="690" t="e">
        <f t="shared" si="245"/>
        <v>#DIV/0!</v>
      </c>
      <c r="AZ144" s="484" t="s">
        <v>1323</v>
      </c>
      <c r="BA144" s="179">
        <v>0</v>
      </c>
      <c r="BB144" s="693" t="str">
        <f t="shared" si="268"/>
        <v>Identificar los riesgos de Seguridad de la Información asociados a los “Activos de Información” de los diferentes procesos de la Entidad</v>
      </c>
      <c r="BC144" s="722">
        <v>0</v>
      </c>
      <c r="BD144" s="855">
        <v>0</v>
      </c>
      <c r="BE144" s="701">
        <v>0</v>
      </c>
      <c r="BF144" s="690" t="e">
        <f t="shared" si="246"/>
        <v>#DIV/0!</v>
      </c>
      <c r="BG144" s="690" t="e">
        <f t="shared" si="247"/>
        <v>#DIV/0!</v>
      </c>
      <c r="BH144" s="690">
        <f t="shared" si="248"/>
        <v>0</v>
      </c>
      <c r="BI144" s="690" t="e">
        <f t="shared" si="249"/>
        <v>#DIV/0!</v>
      </c>
      <c r="BJ144" s="516" t="s">
        <v>1685</v>
      </c>
      <c r="BK144" s="179">
        <v>0</v>
      </c>
      <c r="BL144" s="693" t="str">
        <f t="shared" si="269"/>
        <v>Identificar los riesgos de Seguridad de la Información asociados a los “Activos de Información” de los diferentes procesos de la Entidad</v>
      </c>
      <c r="BM144" s="722">
        <v>0</v>
      </c>
      <c r="BN144" s="695"/>
      <c r="BO144" s="695"/>
      <c r="BP144" s="690" t="e">
        <f t="shared" si="273"/>
        <v>#DIV/0!</v>
      </c>
      <c r="BQ144" s="690" t="e">
        <f t="shared" si="274"/>
        <v>#DIV/0!</v>
      </c>
      <c r="BR144" s="690">
        <f t="shared" si="275"/>
        <v>0</v>
      </c>
      <c r="BS144" s="690" t="e">
        <f t="shared" si="276"/>
        <v>#DIV/0!</v>
      </c>
      <c r="BT144" s="690"/>
      <c r="BU144" s="604">
        <v>1</v>
      </c>
      <c r="BV144" s="693" t="str">
        <f t="shared" si="270"/>
        <v>Identificar los riesgos de Seguridad de la Información asociados a los “Activos de Información” de los diferentes procesos de la Entidad</v>
      </c>
      <c r="BW144" s="172">
        <f t="shared" ref="BW144:BW151" si="289">+AO144*BU144</f>
        <v>0</v>
      </c>
      <c r="BX144" s="695"/>
      <c r="BY144" s="695"/>
      <c r="BZ144" s="698">
        <f t="shared" si="277"/>
        <v>0</v>
      </c>
      <c r="CA144" s="698" t="e">
        <f t="shared" si="278"/>
        <v>#DIV/0!</v>
      </c>
      <c r="CB144" s="698">
        <f t="shared" si="279"/>
        <v>0</v>
      </c>
      <c r="CC144" s="698" t="e">
        <f t="shared" si="280"/>
        <v>#DIV/0!</v>
      </c>
      <c r="CD144" s="698"/>
      <c r="CE144" s="697" t="str">
        <f t="shared" si="281"/>
        <v>No Prog ni Ejec</v>
      </c>
      <c r="CF144" s="697" t="str">
        <f t="shared" si="282"/>
        <v>No Prog ni Ejec</v>
      </c>
      <c r="CG144" s="697" t="str">
        <f t="shared" si="283"/>
        <v>No Prog ni Ejec</v>
      </c>
      <c r="CH144" s="697" t="str">
        <f t="shared" si="284"/>
        <v>No Prog ni Ejec</v>
      </c>
      <c r="CI144" s="697" t="str">
        <f t="shared" si="285"/>
        <v>No Prog ni Ejec</v>
      </c>
      <c r="CJ144" s="697" t="str">
        <f t="shared" si="286"/>
        <v>No Prog ni Ejec</v>
      </c>
      <c r="CK144" s="697">
        <f t="shared" si="287"/>
        <v>0</v>
      </c>
      <c r="CL144" s="786" t="str">
        <f t="shared" si="288"/>
        <v>No Prog ni Ejec</v>
      </c>
      <c r="CM144" s="136">
        <f t="shared" si="271"/>
        <v>0</v>
      </c>
      <c r="CR144" s="125"/>
      <c r="CS144" s="125"/>
      <c r="CT144" s="125">
        <v>3</v>
      </c>
      <c r="CU144" s="125"/>
      <c r="CV144" s="125"/>
      <c r="CW144" s="125"/>
      <c r="CX144" s="125"/>
      <c r="CY144" s="125"/>
      <c r="CZ144" s="125"/>
      <c r="DA144" s="125"/>
      <c r="DB144" s="125"/>
      <c r="DC144" s="125"/>
    </row>
    <row r="145" spans="1:107" s="70" customFormat="1" ht="102" hidden="1" x14ac:dyDescent="0.2">
      <c r="A145" s="785">
        <v>11600</v>
      </c>
      <c r="B145" s="702" t="s">
        <v>4</v>
      </c>
      <c r="C145" s="724" t="s">
        <v>615</v>
      </c>
      <c r="D145" s="177" t="s">
        <v>1023</v>
      </c>
      <c r="E145" s="177"/>
      <c r="F145" s="177"/>
      <c r="G145" s="177" t="s">
        <v>1023</v>
      </c>
      <c r="H145" s="177"/>
      <c r="I145" s="177"/>
      <c r="J145" s="177"/>
      <c r="K145" s="177"/>
      <c r="L145" s="177" t="s">
        <v>1023</v>
      </c>
      <c r="M145" s="177"/>
      <c r="N145" s="177"/>
      <c r="O145" s="177"/>
      <c r="P145" s="177"/>
      <c r="Q145" s="724" t="s">
        <v>1623</v>
      </c>
      <c r="R145" s="724" t="s">
        <v>1144</v>
      </c>
      <c r="S145" s="695" t="s">
        <v>100</v>
      </c>
      <c r="T145" s="724" t="s">
        <v>94</v>
      </c>
      <c r="U145" s="693" t="s">
        <v>204</v>
      </c>
      <c r="V145" s="693" t="s">
        <v>204</v>
      </c>
      <c r="W145" s="695" t="s">
        <v>577</v>
      </c>
      <c r="X145" s="702" t="s">
        <v>1498</v>
      </c>
      <c r="Y145" s="100" t="s">
        <v>391</v>
      </c>
      <c r="Z145" s="168">
        <v>1</v>
      </c>
      <c r="AA145" s="695" t="s">
        <v>576</v>
      </c>
      <c r="AB145" s="702" t="s">
        <v>1499</v>
      </c>
      <c r="AC145" s="722">
        <v>0</v>
      </c>
      <c r="AD145" s="706">
        <v>1</v>
      </c>
      <c r="AE145" s="693" t="s">
        <v>16</v>
      </c>
      <c r="AF145" s="693" t="s">
        <v>21</v>
      </c>
      <c r="AG145" s="693" t="s">
        <v>204</v>
      </c>
      <c r="AH145" s="693" t="s">
        <v>638</v>
      </c>
      <c r="AI145" s="693" t="s">
        <v>77</v>
      </c>
      <c r="AJ145" s="693" t="s">
        <v>1288</v>
      </c>
      <c r="AK145" s="702" t="s">
        <v>1500</v>
      </c>
      <c r="AL145" s="693" t="s">
        <v>43</v>
      </c>
      <c r="AM145" s="168">
        <v>1</v>
      </c>
      <c r="AN145" s="693" t="str">
        <f t="shared" si="272"/>
        <v>Definir y publicar, un conjunto de datos abiertos conforme a las directrices del MinTIC</v>
      </c>
      <c r="AO145" s="72">
        <f t="shared" si="266"/>
        <v>0</v>
      </c>
      <c r="AP145" s="700" t="s">
        <v>48</v>
      </c>
      <c r="AQ145" s="179">
        <v>0</v>
      </c>
      <c r="AR145" s="693" t="str">
        <f t="shared" si="267"/>
        <v>Definir y publicar, un conjunto de datos abiertos conforme a las directrices del MinTIC</v>
      </c>
      <c r="AS145" s="722">
        <f>+AO145*0</f>
        <v>0</v>
      </c>
      <c r="AT145" s="695">
        <v>0</v>
      </c>
      <c r="AU145" s="701">
        <v>0</v>
      </c>
      <c r="AV145" s="690" t="e">
        <f t="shared" si="242"/>
        <v>#DIV/0!</v>
      </c>
      <c r="AW145" s="690" t="e">
        <f t="shared" si="243"/>
        <v>#DIV/0!</v>
      </c>
      <c r="AX145" s="690">
        <f t="shared" si="244"/>
        <v>0</v>
      </c>
      <c r="AY145" s="690" t="e">
        <f t="shared" si="245"/>
        <v>#DIV/0!</v>
      </c>
      <c r="AZ145" s="484" t="s">
        <v>1323</v>
      </c>
      <c r="BA145" s="179">
        <v>0</v>
      </c>
      <c r="BB145" s="693" t="str">
        <f t="shared" si="268"/>
        <v>Definir y publicar, un conjunto de datos abiertos conforme a las directrices del MinTIC</v>
      </c>
      <c r="BC145" s="722">
        <v>0</v>
      </c>
      <c r="BD145" s="855">
        <v>0</v>
      </c>
      <c r="BE145" s="701">
        <v>0</v>
      </c>
      <c r="BF145" s="690" t="e">
        <f t="shared" si="246"/>
        <v>#DIV/0!</v>
      </c>
      <c r="BG145" s="690" t="e">
        <f t="shared" si="247"/>
        <v>#DIV/0!</v>
      </c>
      <c r="BH145" s="690">
        <f t="shared" si="248"/>
        <v>0</v>
      </c>
      <c r="BI145" s="690" t="e">
        <f t="shared" si="249"/>
        <v>#DIV/0!</v>
      </c>
      <c r="BJ145" s="516" t="s">
        <v>1686</v>
      </c>
      <c r="BK145" s="179">
        <v>0</v>
      </c>
      <c r="BL145" s="693" t="str">
        <f t="shared" si="269"/>
        <v>Definir y publicar, un conjunto de datos abiertos conforme a las directrices del MinTIC</v>
      </c>
      <c r="BM145" s="722">
        <v>0</v>
      </c>
      <c r="BN145" s="695"/>
      <c r="BO145" s="695"/>
      <c r="BP145" s="690" t="e">
        <f t="shared" si="273"/>
        <v>#DIV/0!</v>
      </c>
      <c r="BQ145" s="690" t="e">
        <f t="shared" si="274"/>
        <v>#DIV/0!</v>
      </c>
      <c r="BR145" s="690">
        <f t="shared" si="275"/>
        <v>0</v>
      </c>
      <c r="BS145" s="690" t="e">
        <f t="shared" si="276"/>
        <v>#DIV/0!</v>
      </c>
      <c r="BT145" s="690"/>
      <c r="BU145" s="179">
        <v>1</v>
      </c>
      <c r="BV145" s="693" t="str">
        <f t="shared" si="270"/>
        <v>Definir y publicar, un conjunto de datos abiertos conforme a las directrices del MinTIC</v>
      </c>
      <c r="BW145" s="172">
        <f t="shared" si="289"/>
        <v>0</v>
      </c>
      <c r="BX145" s="695"/>
      <c r="BY145" s="695"/>
      <c r="BZ145" s="698">
        <f t="shared" si="277"/>
        <v>0</v>
      </c>
      <c r="CA145" s="698" t="e">
        <f t="shared" si="278"/>
        <v>#DIV/0!</v>
      </c>
      <c r="CB145" s="698">
        <f t="shared" si="279"/>
        <v>0</v>
      </c>
      <c r="CC145" s="698" t="e">
        <f t="shared" si="280"/>
        <v>#DIV/0!</v>
      </c>
      <c r="CD145" s="698"/>
      <c r="CE145" s="697" t="str">
        <f t="shared" si="281"/>
        <v>No Prog ni Ejec</v>
      </c>
      <c r="CF145" s="697" t="str">
        <f t="shared" si="282"/>
        <v>No Prog ni Ejec</v>
      </c>
      <c r="CG145" s="697" t="str">
        <f t="shared" si="283"/>
        <v>No Prog ni Ejec</v>
      </c>
      <c r="CH145" s="697" t="str">
        <f t="shared" si="284"/>
        <v>No Prog ni Ejec</v>
      </c>
      <c r="CI145" s="697" t="str">
        <f t="shared" si="285"/>
        <v>No Prog ni Ejec</v>
      </c>
      <c r="CJ145" s="697" t="str">
        <f t="shared" si="286"/>
        <v>No Prog ni Ejec</v>
      </c>
      <c r="CK145" s="697">
        <f t="shared" si="287"/>
        <v>0</v>
      </c>
      <c r="CL145" s="786" t="str">
        <f t="shared" si="288"/>
        <v>No Prog ni Ejec</v>
      </c>
      <c r="CM145" s="136">
        <f t="shared" si="271"/>
        <v>0</v>
      </c>
      <c r="CU145" s="125">
        <v>4</v>
      </c>
      <c r="DB145" s="70">
        <v>11</v>
      </c>
    </row>
    <row r="146" spans="1:107" s="70" customFormat="1" ht="369.75" hidden="1" x14ac:dyDescent="0.2">
      <c r="A146" s="785">
        <v>11600</v>
      </c>
      <c r="B146" s="693" t="s">
        <v>4</v>
      </c>
      <c r="C146" s="724" t="s">
        <v>332</v>
      </c>
      <c r="D146" s="177"/>
      <c r="E146" s="177"/>
      <c r="F146" s="177"/>
      <c r="G146" s="177"/>
      <c r="H146" s="177"/>
      <c r="I146" s="177"/>
      <c r="J146" s="177"/>
      <c r="K146" s="177"/>
      <c r="L146" s="177"/>
      <c r="M146" s="177"/>
      <c r="N146" s="177"/>
      <c r="O146" s="177" t="s">
        <v>1023</v>
      </c>
      <c r="P146" s="177"/>
      <c r="Q146" s="693" t="s">
        <v>204</v>
      </c>
      <c r="R146" s="693" t="s">
        <v>204</v>
      </c>
      <c r="S146" s="695" t="s">
        <v>100</v>
      </c>
      <c r="T146" s="724" t="s">
        <v>94</v>
      </c>
      <c r="U146" s="693" t="s">
        <v>204</v>
      </c>
      <c r="V146" s="693" t="s">
        <v>204</v>
      </c>
      <c r="W146" s="695" t="s">
        <v>1120</v>
      </c>
      <c r="X146" s="724" t="s">
        <v>515</v>
      </c>
      <c r="Y146" s="100" t="s">
        <v>391</v>
      </c>
      <c r="Z146" s="73">
        <v>2</v>
      </c>
      <c r="AA146" s="695" t="s">
        <v>1110</v>
      </c>
      <c r="AB146" s="724" t="s">
        <v>518</v>
      </c>
      <c r="AC146" s="691">
        <v>0</v>
      </c>
      <c r="AD146" s="706">
        <v>1</v>
      </c>
      <c r="AE146" s="693" t="s">
        <v>17</v>
      </c>
      <c r="AF146" s="693" t="s">
        <v>297</v>
      </c>
      <c r="AG146" s="693" t="s">
        <v>204</v>
      </c>
      <c r="AH146" s="693" t="s">
        <v>638</v>
      </c>
      <c r="AI146" s="693" t="s">
        <v>81</v>
      </c>
      <c r="AJ146" s="693" t="s">
        <v>1278</v>
      </c>
      <c r="AK146" s="724" t="s">
        <v>1153</v>
      </c>
      <c r="AL146" s="693" t="s">
        <v>204</v>
      </c>
      <c r="AM146" s="73">
        <v>2</v>
      </c>
      <c r="AN146" s="693" t="str">
        <f t="shared" si="272"/>
        <v>Realizar evaluación del autodiagnóstico del Modelos de Seguridad y Privacidad de la Información - MSPI 1 vez por semestre</v>
      </c>
      <c r="AO146" s="72">
        <f t="shared" ref="AO146:AO151" si="290">+AC146</f>
        <v>0</v>
      </c>
      <c r="AP146" s="700" t="s">
        <v>48</v>
      </c>
      <c r="AQ146" s="179">
        <v>0</v>
      </c>
      <c r="AR146" s="693" t="str">
        <f t="shared" si="267"/>
        <v>Realizar evaluación del autodiagnóstico del Modelos de Seguridad y Privacidad de la Información - MSPI 1 vez por semestre</v>
      </c>
      <c r="AS146" s="722">
        <f t="shared" ref="AS146:AS151" si="291">+AO146*0</f>
        <v>0</v>
      </c>
      <c r="AT146" s="695">
        <v>0</v>
      </c>
      <c r="AU146" s="701">
        <v>0</v>
      </c>
      <c r="AV146" s="690" t="e">
        <f t="shared" ref="AV146:AV151" si="292">+(AT146/AQ146)</f>
        <v>#DIV/0!</v>
      </c>
      <c r="AW146" s="690" t="e">
        <f t="shared" si="243"/>
        <v>#DIV/0!</v>
      </c>
      <c r="AX146" s="690">
        <f t="shared" ref="AX146:AX151" si="293">+(AT146/AM146)</f>
        <v>0</v>
      </c>
      <c r="AY146" s="690" t="e">
        <f t="shared" ref="AY146:AY151" si="294">+(AU146/AO146)</f>
        <v>#DIV/0!</v>
      </c>
      <c r="AZ146" s="484" t="s">
        <v>1323</v>
      </c>
      <c r="BA146" s="168">
        <v>1</v>
      </c>
      <c r="BB146" s="693" t="str">
        <f t="shared" ref="BB146:BB151" si="295">+AN146</f>
        <v>Realizar evaluación del autodiagnóstico del Modelos de Seguridad y Privacidad de la Información - MSPI 1 vez por semestre</v>
      </c>
      <c r="BC146" s="722">
        <v>0</v>
      </c>
      <c r="BD146" s="855">
        <v>1</v>
      </c>
      <c r="BE146" s="701">
        <v>0</v>
      </c>
      <c r="BF146" s="690">
        <f t="shared" si="246"/>
        <v>1</v>
      </c>
      <c r="BG146" s="690" t="e">
        <f t="shared" si="247"/>
        <v>#DIV/0!</v>
      </c>
      <c r="BH146" s="690">
        <f t="shared" si="248"/>
        <v>0.5</v>
      </c>
      <c r="BI146" s="690" t="e">
        <f t="shared" si="249"/>
        <v>#DIV/0!</v>
      </c>
      <c r="BJ146" s="516" t="s">
        <v>1687</v>
      </c>
      <c r="BK146" s="179">
        <v>0</v>
      </c>
      <c r="BL146" s="693" t="str">
        <f t="shared" si="269"/>
        <v>Realizar evaluación del autodiagnóstico del Modelos de Seguridad y Privacidad de la Información - MSPI 1 vez por semestre</v>
      </c>
      <c r="BM146" s="722">
        <v>0</v>
      </c>
      <c r="BN146" s="695"/>
      <c r="BO146" s="695"/>
      <c r="BP146" s="690" t="e">
        <f t="shared" si="273"/>
        <v>#DIV/0!</v>
      </c>
      <c r="BQ146" s="690" t="e">
        <f t="shared" si="274"/>
        <v>#DIV/0!</v>
      </c>
      <c r="BR146" s="690">
        <f t="shared" si="275"/>
        <v>0.5</v>
      </c>
      <c r="BS146" s="690" t="e">
        <f t="shared" si="276"/>
        <v>#DIV/0!</v>
      </c>
      <c r="BT146" s="690"/>
      <c r="BU146" s="168">
        <v>1</v>
      </c>
      <c r="BV146" s="693" t="str">
        <f t="shared" si="270"/>
        <v>Realizar evaluación del autodiagnóstico del Modelos de Seguridad y Privacidad de la Información - MSPI 1 vez por semestre</v>
      </c>
      <c r="BW146" s="172">
        <f t="shared" si="289"/>
        <v>0</v>
      </c>
      <c r="BX146" s="695"/>
      <c r="BY146" s="695"/>
      <c r="BZ146" s="698">
        <f t="shared" si="277"/>
        <v>0</v>
      </c>
      <c r="CA146" s="698" t="e">
        <f t="shared" si="278"/>
        <v>#DIV/0!</v>
      </c>
      <c r="CB146" s="698">
        <f t="shared" si="279"/>
        <v>0.5</v>
      </c>
      <c r="CC146" s="698" t="e">
        <f t="shared" si="280"/>
        <v>#DIV/0!</v>
      </c>
      <c r="CD146" s="698"/>
      <c r="CE146" s="697" t="str">
        <f t="shared" si="281"/>
        <v>No Prog ni Ejec</v>
      </c>
      <c r="CF146" s="697" t="str">
        <f t="shared" si="282"/>
        <v>No Prog ni Ejec</v>
      </c>
      <c r="CG146" s="697">
        <f t="shared" si="283"/>
        <v>1</v>
      </c>
      <c r="CH146" s="697" t="str">
        <f t="shared" si="284"/>
        <v>No Prog ni Ejec</v>
      </c>
      <c r="CI146" s="697" t="str">
        <f t="shared" si="285"/>
        <v>No Prog ni Ejec</v>
      </c>
      <c r="CJ146" s="697" t="str">
        <f t="shared" si="286"/>
        <v>No Prog ni Ejec</v>
      </c>
      <c r="CK146" s="697">
        <f t="shared" si="287"/>
        <v>0</v>
      </c>
      <c r="CL146" s="786" t="str">
        <f t="shared" si="288"/>
        <v>No Prog ni Ejec</v>
      </c>
      <c r="CM146" s="136">
        <f t="shared" si="271"/>
        <v>0</v>
      </c>
      <c r="CT146" s="125">
        <v>3</v>
      </c>
    </row>
    <row r="147" spans="1:107" s="70" customFormat="1" ht="242.25" hidden="1" x14ac:dyDescent="0.2">
      <c r="A147" s="785">
        <v>11600</v>
      </c>
      <c r="B147" s="693" t="s">
        <v>4</v>
      </c>
      <c r="C147" s="724" t="s">
        <v>332</v>
      </c>
      <c r="D147" s="177"/>
      <c r="E147" s="177"/>
      <c r="F147" s="177"/>
      <c r="G147" s="177"/>
      <c r="H147" s="177"/>
      <c r="I147" s="177"/>
      <c r="J147" s="177"/>
      <c r="K147" s="177"/>
      <c r="L147" s="177"/>
      <c r="M147" s="177"/>
      <c r="N147" s="177"/>
      <c r="O147" s="177" t="s">
        <v>1023</v>
      </c>
      <c r="P147" s="177"/>
      <c r="Q147" s="693" t="s">
        <v>204</v>
      </c>
      <c r="R147" s="693" t="s">
        <v>204</v>
      </c>
      <c r="S147" s="695" t="s">
        <v>100</v>
      </c>
      <c r="T147" s="724" t="s">
        <v>94</v>
      </c>
      <c r="U147" s="693" t="s">
        <v>204</v>
      </c>
      <c r="V147" s="693" t="s">
        <v>204</v>
      </c>
      <c r="W147" s="695" t="s">
        <v>579</v>
      </c>
      <c r="X147" s="724" t="s">
        <v>516</v>
      </c>
      <c r="Y147" s="100" t="s">
        <v>391</v>
      </c>
      <c r="Z147" s="73">
        <v>2</v>
      </c>
      <c r="AA147" s="695" t="s">
        <v>578</v>
      </c>
      <c r="AB147" s="724" t="s">
        <v>519</v>
      </c>
      <c r="AC147" s="691">
        <v>0</v>
      </c>
      <c r="AD147" s="706">
        <v>1</v>
      </c>
      <c r="AE147" s="693" t="s">
        <v>17</v>
      </c>
      <c r="AF147" s="693" t="s">
        <v>297</v>
      </c>
      <c r="AG147" s="693" t="s">
        <v>204</v>
      </c>
      <c r="AH147" s="693" t="s">
        <v>638</v>
      </c>
      <c r="AI147" s="693" t="s">
        <v>81</v>
      </c>
      <c r="AJ147" s="693" t="s">
        <v>1278</v>
      </c>
      <c r="AK147" s="724" t="s">
        <v>521</v>
      </c>
      <c r="AL147" s="693" t="s">
        <v>204</v>
      </c>
      <c r="AM147" s="73">
        <v>2</v>
      </c>
      <c r="AN147" s="693" t="str">
        <f t="shared" si="272"/>
        <v>Definir y aprobar las políticas de Seguridad que soportan el MSPI</v>
      </c>
      <c r="AO147" s="72">
        <f t="shared" si="290"/>
        <v>0</v>
      </c>
      <c r="AP147" s="700" t="s">
        <v>48</v>
      </c>
      <c r="AQ147" s="168">
        <v>2</v>
      </c>
      <c r="AR147" s="693" t="str">
        <f t="shared" si="267"/>
        <v>Definir y aprobar las políticas de Seguridad que soportan el MSPI</v>
      </c>
      <c r="AS147" s="722">
        <f t="shared" si="291"/>
        <v>0</v>
      </c>
      <c r="AT147" s="695">
        <v>2</v>
      </c>
      <c r="AU147" s="701">
        <v>0</v>
      </c>
      <c r="AV147" s="690">
        <f t="shared" si="292"/>
        <v>1</v>
      </c>
      <c r="AW147" s="690" t="e">
        <f t="shared" si="243"/>
        <v>#DIV/0!</v>
      </c>
      <c r="AX147" s="690">
        <f t="shared" si="293"/>
        <v>1</v>
      </c>
      <c r="AY147" s="690" t="e">
        <f t="shared" si="294"/>
        <v>#DIV/0!</v>
      </c>
      <c r="AZ147" s="484" t="s">
        <v>1324</v>
      </c>
      <c r="BA147" s="179">
        <v>0</v>
      </c>
      <c r="BB147" s="693" t="str">
        <f t="shared" si="295"/>
        <v>Definir y aprobar las políticas de Seguridad que soportan el MSPI</v>
      </c>
      <c r="BC147" s="722">
        <v>0</v>
      </c>
      <c r="BD147" s="767">
        <v>0</v>
      </c>
      <c r="BE147" s="701">
        <v>0</v>
      </c>
      <c r="BF147" s="690" t="e">
        <f t="shared" si="246"/>
        <v>#DIV/0!</v>
      </c>
      <c r="BG147" s="690" t="e">
        <f t="shared" si="247"/>
        <v>#DIV/0!</v>
      </c>
      <c r="BH147" s="690">
        <f t="shared" si="248"/>
        <v>1</v>
      </c>
      <c r="BI147" s="690" t="e">
        <f t="shared" si="249"/>
        <v>#DIV/0!</v>
      </c>
      <c r="BJ147" s="516" t="s">
        <v>1686</v>
      </c>
      <c r="BK147" s="179">
        <v>0</v>
      </c>
      <c r="BL147" s="693" t="str">
        <f t="shared" si="269"/>
        <v>Definir y aprobar las políticas de Seguridad que soportan el MSPI</v>
      </c>
      <c r="BM147" s="722">
        <v>0</v>
      </c>
      <c r="BN147" s="695"/>
      <c r="BO147" s="695"/>
      <c r="BP147" s="690" t="e">
        <f t="shared" si="273"/>
        <v>#DIV/0!</v>
      </c>
      <c r="BQ147" s="690" t="e">
        <f t="shared" si="274"/>
        <v>#DIV/0!</v>
      </c>
      <c r="BR147" s="690">
        <f t="shared" si="275"/>
        <v>1</v>
      </c>
      <c r="BS147" s="690" t="e">
        <f t="shared" si="276"/>
        <v>#DIV/0!</v>
      </c>
      <c r="BT147" s="690"/>
      <c r="BU147" s="179">
        <v>0</v>
      </c>
      <c r="BV147" s="693" t="str">
        <f t="shared" si="270"/>
        <v>Definir y aprobar las políticas de Seguridad que soportan el MSPI</v>
      </c>
      <c r="BW147" s="172">
        <f t="shared" si="289"/>
        <v>0</v>
      </c>
      <c r="BX147" s="695"/>
      <c r="BY147" s="695"/>
      <c r="BZ147" s="698" t="e">
        <f t="shared" si="277"/>
        <v>#DIV/0!</v>
      </c>
      <c r="CA147" s="698" t="e">
        <f t="shared" si="278"/>
        <v>#DIV/0!</v>
      </c>
      <c r="CB147" s="698">
        <f t="shared" si="279"/>
        <v>1</v>
      </c>
      <c r="CC147" s="698" t="e">
        <f t="shared" si="280"/>
        <v>#DIV/0!</v>
      </c>
      <c r="CD147" s="698"/>
      <c r="CE147" s="697">
        <f t="shared" si="281"/>
        <v>1</v>
      </c>
      <c r="CF147" s="697" t="str">
        <f t="shared" si="282"/>
        <v>No Prog ni Ejec</v>
      </c>
      <c r="CG147" s="697" t="str">
        <f t="shared" si="283"/>
        <v>No Prog ni Ejec</v>
      </c>
      <c r="CH147" s="697" t="str">
        <f t="shared" si="284"/>
        <v>No Prog ni Ejec</v>
      </c>
      <c r="CI147" s="697" t="str">
        <f t="shared" si="285"/>
        <v>No Prog ni Ejec</v>
      </c>
      <c r="CJ147" s="697" t="str">
        <f t="shared" si="286"/>
        <v>No Prog ni Ejec</v>
      </c>
      <c r="CK147" s="697" t="str">
        <f t="shared" si="287"/>
        <v>No Prog ni Ejec</v>
      </c>
      <c r="CL147" s="786" t="str">
        <f t="shared" si="288"/>
        <v>No Prog ni Ejec</v>
      </c>
      <c r="CM147" s="136">
        <f t="shared" si="271"/>
        <v>0</v>
      </c>
      <c r="CT147" s="125">
        <v>3</v>
      </c>
    </row>
    <row r="148" spans="1:107" s="70" customFormat="1" ht="150" hidden="1" customHeight="1" x14ac:dyDescent="0.2">
      <c r="A148" s="785">
        <v>11600</v>
      </c>
      <c r="B148" s="693" t="s">
        <v>4</v>
      </c>
      <c r="C148" s="724" t="s">
        <v>332</v>
      </c>
      <c r="D148" s="177"/>
      <c r="E148" s="177"/>
      <c r="F148" s="177"/>
      <c r="G148" s="177"/>
      <c r="H148" s="177"/>
      <c r="I148" s="177"/>
      <c r="J148" s="177"/>
      <c r="K148" s="177"/>
      <c r="L148" s="177"/>
      <c r="M148" s="177"/>
      <c r="N148" s="177"/>
      <c r="O148" s="177" t="s">
        <v>1023</v>
      </c>
      <c r="P148" s="177"/>
      <c r="Q148" s="693" t="s">
        <v>204</v>
      </c>
      <c r="R148" s="693" t="s">
        <v>204</v>
      </c>
      <c r="S148" s="695" t="s">
        <v>100</v>
      </c>
      <c r="T148" s="724" t="s">
        <v>94</v>
      </c>
      <c r="U148" s="693" t="s">
        <v>204</v>
      </c>
      <c r="V148" s="693" t="s">
        <v>204</v>
      </c>
      <c r="W148" s="695" t="s">
        <v>1121</v>
      </c>
      <c r="X148" s="724" t="s">
        <v>1154</v>
      </c>
      <c r="Y148" s="100" t="s">
        <v>391</v>
      </c>
      <c r="Z148" s="168">
        <v>2</v>
      </c>
      <c r="AA148" s="695" t="s">
        <v>1111</v>
      </c>
      <c r="AB148" s="724" t="s">
        <v>1155</v>
      </c>
      <c r="AC148" s="691">
        <v>0</v>
      </c>
      <c r="AD148" s="706">
        <v>1</v>
      </c>
      <c r="AE148" s="693" t="s">
        <v>18</v>
      </c>
      <c r="AF148" s="693" t="s">
        <v>24</v>
      </c>
      <c r="AG148" s="693" t="s">
        <v>204</v>
      </c>
      <c r="AH148" s="693" t="s">
        <v>638</v>
      </c>
      <c r="AI148" s="693" t="s">
        <v>81</v>
      </c>
      <c r="AJ148" s="693" t="s">
        <v>1278</v>
      </c>
      <c r="AK148" s="724" t="s">
        <v>1156</v>
      </c>
      <c r="AL148" s="693" t="s">
        <v>296</v>
      </c>
      <c r="AM148" s="168">
        <v>2</v>
      </c>
      <c r="AN148" s="693" t="str">
        <f t="shared" si="272"/>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8" s="72">
        <f t="shared" si="290"/>
        <v>0</v>
      </c>
      <c r="AP148" s="700" t="s">
        <v>48</v>
      </c>
      <c r="AQ148" s="179">
        <v>0</v>
      </c>
      <c r="AR148" s="693" t="str">
        <f t="shared" si="267"/>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8" s="722">
        <f t="shared" si="291"/>
        <v>0</v>
      </c>
      <c r="AT148" s="695">
        <v>0</v>
      </c>
      <c r="AU148" s="701">
        <v>0</v>
      </c>
      <c r="AV148" s="690" t="e">
        <f t="shared" si="292"/>
        <v>#DIV/0!</v>
      </c>
      <c r="AW148" s="690" t="e">
        <f t="shared" si="243"/>
        <v>#DIV/0!</v>
      </c>
      <c r="AX148" s="690">
        <f t="shared" si="293"/>
        <v>0</v>
      </c>
      <c r="AY148" s="690" t="e">
        <f t="shared" si="294"/>
        <v>#DIV/0!</v>
      </c>
      <c r="AZ148" s="484" t="s">
        <v>1323</v>
      </c>
      <c r="BA148" s="168">
        <v>1</v>
      </c>
      <c r="BB148" s="693" t="str">
        <f t="shared" si="295"/>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8" s="722">
        <v>0</v>
      </c>
      <c r="BD148" s="855">
        <v>1</v>
      </c>
      <c r="BE148" s="701">
        <v>0</v>
      </c>
      <c r="BF148" s="690">
        <f t="shared" si="246"/>
        <v>1</v>
      </c>
      <c r="BG148" s="690" t="e">
        <f t="shared" si="247"/>
        <v>#DIV/0!</v>
      </c>
      <c r="BH148" s="690">
        <f t="shared" si="248"/>
        <v>0.5</v>
      </c>
      <c r="BI148" s="690" t="e">
        <f t="shared" si="249"/>
        <v>#DIV/0!</v>
      </c>
      <c r="BJ148" s="516" t="s">
        <v>1778</v>
      </c>
      <c r="BK148" s="179">
        <v>0</v>
      </c>
      <c r="BL148" s="693" t="str">
        <f t="shared" si="269"/>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8" s="722">
        <v>0</v>
      </c>
      <c r="BN148" s="695"/>
      <c r="BO148" s="695"/>
      <c r="BP148" s="690" t="e">
        <f>+(BN148/BK148)</f>
        <v>#DIV/0!</v>
      </c>
      <c r="BQ148" s="690" t="e">
        <f>+(BO148/BM148)</f>
        <v>#DIV/0!</v>
      </c>
      <c r="BR148" s="690">
        <f>+(BD148+AT148+BN148)/AM148</f>
        <v>0.5</v>
      </c>
      <c r="BS148" s="690" t="e">
        <f>+(BE148+AU148+BO148)/AO148</f>
        <v>#DIV/0!</v>
      </c>
      <c r="BT148" s="690"/>
      <c r="BU148" s="168">
        <v>1</v>
      </c>
      <c r="BV148" s="693" t="str">
        <f t="shared" si="270"/>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8" s="172">
        <f t="shared" si="289"/>
        <v>0</v>
      </c>
      <c r="BX148" s="695"/>
      <c r="BY148" s="695"/>
      <c r="BZ148" s="698">
        <f t="shared" si="277"/>
        <v>0</v>
      </c>
      <c r="CA148" s="698" t="e">
        <f t="shared" si="278"/>
        <v>#DIV/0!</v>
      </c>
      <c r="CB148" s="698">
        <f t="shared" si="279"/>
        <v>0.5</v>
      </c>
      <c r="CC148" s="698" t="e">
        <f t="shared" si="280"/>
        <v>#DIV/0!</v>
      </c>
      <c r="CD148" s="698"/>
      <c r="CE148" s="697" t="str">
        <f t="shared" si="281"/>
        <v>No Prog ni Ejec</v>
      </c>
      <c r="CF148" s="697" t="str">
        <f t="shared" si="282"/>
        <v>No Prog ni Ejec</v>
      </c>
      <c r="CG148" s="697">
        <f t="shared" si="283"/>
        <v>1</v>
      </c>
      <c r="CH148" s="697" t="str">
        <f t="shared" si="284"/>
        <v>No Prog ni Ejec</v>
      </c>
      <c r="CI148" s="697" t="str">
        <f t="shared" si="285"/>
        <v>No Prog ni Ejec</v>
      </c>
      <c r="CJ148" s="697" t="str">
        <f t="shared" si="286"/>
        <v>No Prog ni Ejec</v>
      </c>
      <c r="CK148" s="697">
        <f t="shared" si="287"/>
        <v>0</v>
      </c>
      <c r="CL148" s="786" t="str">
        <f t="shared" si="288"/>
        <v>No Prog ni Ejec</v>
      </c>
      <c r="CM148" s="136">
        <f t="shared" si="271"/>
        <v>0</v>
      </c>
      <c r="CT148" s="125">
        <v>3</v>
      </c>
    </row>
    <row r="149" spans="1:107" s="70" customFormat="1" ht="108.75" hidden="1" customHeight="1" x14ac:dyDescent="0.2">
      <c r="A149" s="785">
        <v>11600</v>
      </c>
      <c r="B149" s="693" t="s">
        <v>4</v>
      </c>
      <c r="C149" s="724" t="s">
        <v>332</v>
      </c>
      <c r="D149" s="177"/>
      <c r="E149" s="177"/>
      <c r="F149" s="177"/>
      <c r="G149" s="177"/>
      <c r="H149" s="177"/>
      <c r="I149" s="177"/>
      <c r="J149" s="177"/>
      <c r="K149" s="177"/>
      <c r="L149" s="177"/>
      <c r="M149" s="177"/>
      <c r="N149" s="177"/>
      <c r="O149" s="177" t="s">
        <v>1023</v>
      </c>
      <c r="P149" s="177"/>
      <c r="Q149" s="693" t="s">
        <v>204</v>
      </c>
      <c r="R149" s="693" t="s">
        <v>204</v>
      </c>
      <c r="S149" s="695" t="s">
        <v>100</v>
      </c>
      <c r="T149" s="724" t="s">
        <v>94</v>
      </c>
      <c r="U149" s="693" t="s">
        <v>204</v>
      </c>
      <c r="V149" s="693" t="s">
        <v>204</v>
      </c>
      <c r="W149" s="695" t="s">
        <v>581</v>
      </c>
      <c r="X149" s="724" t="s">
        <v>517</v>
      </c>
      <c r="Y149" s="100" t="s">
        <v>391</v>
      </c>
      <c r="Z149" s="73">
        <v>19</v>
      </c>
      <c r="AA149" s="695" t="s">
        <v>580</v>
      </c>
      <c r="AB149" s="724" t="s">
        <v>520</v>
      </c>
      <c r="AC149" s="691">
        <v>0</v>
      </c>
      <c r="AD149" s="706">
        <v>1</v>
      </c>
      <c r="AE149" s="693" t="s">
        <v>17</v>
      </c>
      <c r="AF149" s="693" t="s">
        <v>297</v>
      </c>
      <c r="AG149" s="693" t="s">
        <v>204</v>
      </c>
      <c r="AH149" s="693" t="s">
        <v>638</v>
      </c>
      <c r="AI149" s="693" t="s">
        <v>81</v>
      </c>
      <c r="AJ149" s="693" t="s">
        <v>1289</v>
      </c>
      <c r="AK149" s="724" t="s">
        <v>522</v>
      </c>
      <c r="AL149" s="693" t="s">
        <v>204</v>
      </c>
      <c r="AM149" s="73">
        <v>19</v>
      </c>
      <c r="AN149" s="693" t="str">
        <f t="shared" si="272"/>
        <v>Elaborar y aprobar de los procedimientos relacionados con Seguridad de la Información que corresponden por competencias  directamente a la DGTIC.</v>
      </c>
      <c r="AO149" s="72">
        <f t="shared" si="290"/>
        <v>0</v>
      </c>
      <c r="AP149" s="700" t="s">
        <v>48</v>
      </c>
      <c r="AQ149" s="168">
        <v>4</v>
      </c>
      <c r="AR149" s="693" t="str">
        <f t="shared" si="267"/>
        <v>Elaborar y aprobar de los procedimientos relacionados con Seguridad de la Información que corresponden por competencias  directamente a la DGTIC.</v>
      </c>
      <c r="AS149" s="722">
        <f t="shared" si="291"/>
        <v>0</v>
      </c>
      <c r="AT149" s="695">
        <v>4</v>
      </c>
      <c r="AU149" s="701">
        <v>0</v>
      </c>
      <c r="AV149" s="690">
        <f t="shared" si="292"/>
        <v>1</v>
      </c>
      <c r="AW149" s="690" t="e">
        <f t="shared" si="243"/>
        <v>#DIV/0!</v>
      </c>
      <c r="AX149" s="690">
        <f t="shared" si="293"/>
        <v>0.21052631578947367</v>
      </c>
      <c r="AY149" s="690" t="e">
        <f t="shared" si="294"/>
        <v>#DIV/0!</v>
      </c>
      <c r="AZ149" s="484" t="s">
        <v>1325</v>
      </c>
      <c r="BA149" s="179">
        <v>0</v>
      </c>
      <c r="BB149" s="693" t="str">
        <f t="shared" si="295"/>
        <v>Elaborar y aprobar de los procedimientos relacionados con Seguridad de la Información que corresponden por competencias  directamente a la DGTIC.</v>
      </c>
      <c r="BC149" s="722">
        <v>0</v>
      </c>
      <c r="BD149" s="855">
        <v>0</v>
      </c>
      <c r="BE149" s="701">
        <v>0</v>
      </c>
      <c r="BF149" s="690" t="e">
        <f t="shared" si="246"/>
        <v>#DIV/0!</v>
      </c>
      <c r="BG149" s="690" t="e">
        <f t="shared" si="247"/>
        <v>#DIV/0!</v>
      </c>
      <c r="BH149" s="690">
        <f t="shared" si="248"/>
        <v>0.21052631578947367</v>
      </c>
      <c r="BI149" s="690" t="e">
        <f t="shared" si="249"/>
        <v>#DIV/0!</v>
      </c>
      <c r="BJ149" s="516" t="s">
        <v>1681</v>
      </c>
      <c r="BK149" s="602">
        <v>5</v>
      </c>
      <c r="BL149" s="693" t="str">
        <f t="shared" si="269"/>
        <v>Elaborar y aprobar de los procedimientos relacionados con Seguridad de la Información que corresponden por competencias  directamente a la DGTIC.</v>
      </c>
      <c r="BM149" s="722">
        <v>0</v>
      </c>
      <c r="BN149" s="695"/>
      <c r="BO149" s="695"/>
      <c r="BP149" s="690">
        <f>+(BN149/BK149)</f>
        <v>0</v>
      </c>
      <c r="BQ149" s="690" t="e">
        <f>+(BO149/BM149)</f>
        <v>#DIV/0!</v>
      </c>
      <c r="BR149" s="690">
        <f>+(BD149+AT149+BN149)/AM149</f>
        <v>0.21052631578947367</v>
      </c>
      <c r="BS149" s="690" t="e">
        <f>+(BE149+AU149+BO149)/AO149</f>
        <v>#DIV/0!</v>
      </c>
      <c r="BT149" s="690"/>
      <c r="BU149" s="602">
        <v>10</v>
      </c>
      <c r="BV149" s="693" t="str">
        <f t="shared" si="270"/>
        <v>Elaborar y aprobar de los procedimientos relacionados con Seguridad de la Información que corresponden por competencias  directamente a la DGTIC.</v>
      </c>
      <c r="BW149" s="172">
        <f t="shared" si="289"/>
        <v>0</v>
      </c>
      <c r="BX149" s="695"/>
      <c r="BY149" s="695"/>
      <c r="BZ149" s="698">
        <f>+(BX149/BU149)</f>
        <v>0</v>
      </c>
      <c r="CA149" s="698" t="e">
        <f>+(BY149/BW149)</f>
        <v>#DIV/0!</v>
      </c>
      <c r="CB149" s="698">
        <f>+(BD149+AT149+BN149+BX149)/AM149</f>
        <v>0.21052631578947367</v>
      </c>
      <c r="CC149" s="698" t="e">
        <f>+(BE149+AU149+BO149+BY149)/AO149</f>
        <v>#DIV/0!</v>
      </c>
      <c r="CD149" s="698"/>
      <c r="CE149" s="697">
        <f>IF(AND(AQ149=0,AT149=0),"No Prog ni Ejec",IF(AQ149=0,CONCATENATE("No Prog, Ejec=  ",AT149),AT149/AQ149))</f>
        <v>1</v>
      </c>
      <c r="CF149" s="697" t="str">
        <f>IF(AND(AS149=0,AU149=0),"No Prog ni Ejec",IF(AS149=0,CONCATENATE("No Prog, Ejec=  ",AU149),AU149/AS149))</f>
        <v>No Prog ni Ejec</v>
      </c>
      <c r="CG149" s="697" t="str">
        <f>IF(AND(BA149=0,BD149=0),"No Prog ni Ejec",IF(BA149=0,CONCATENATE("No Prog, Ejec=  ",BD149),BD149/BA149))</f>
        <v>No Prog ni Ejec</v>
      </c>
      <c r="CH149" s="697" t="str">
        <f>IF(AND(BC149=0,BE149=0),"No Prog ni Ejec",IF(BC149=0,CONCATENATE("No Prog, Ejec=  ",BE149),BE149/BC149))</f>
        <v>No Prog ni Ejec</v>
      </c>
      <c r="CI149" s="697">
        <f>IF(AND(BK149=0,BN149=0),"No Prog ni Ejec",IF(BK149=0,CONCATENATE("No Prog, Ejec=  ",BN149),BN149/BK149))</f>
        <v>0</v>
      </c>
      <c r="CJ149" s="697" t="str">
        <f>IF(AND(BM149=0,BO149=0),"No Prog ni Ejec",IF(BM149=0,CONCATENATE("No Prog, Ejec=  ",BO149),BO149/BM149))</f>
        <v>No Prog ni Ejec</v>
      </c>
      <c r="CK149" s="697">
        <f>IF(AND(BU149=0,BX149=0),"No Prog ni Ejec",IF(BU149=0,CONCATENATE("No Prog, Ejec=  ",BX149),BX149/BU149))</f>
        <v>0</v>
      </c>
      <c r="CL149" s="786" t="str">
        <f>IF(AND(BW149=0,BY149=0),"No Prog ni Ejec",IF(BW149=0,CONCATENATE("No Prog, Ejec=  ",BY149),BY149/BW149))</f>
        <v>No Prog ni Ejec</v>
      </c>
      <c r="CM149" s="136">
        <f t="shared" si="271"/>
        <v>0</v>
      </c>
      <c r="CT149" s="125">
        <v>3</v>
      </c>
    </row>
    <row r="150" spans="1:107" s="70" customFormat="1" ht="242.25" hidden="1" x14ac:dyDescent="0.2">
      <c r="A150" s="785">
        <v>11600</v>
      </c>
      <c r="B150" s="693" t="s">
        <v>4</v>
      </c>
      <c r="C150" s="724" t="s">
        <v>1157</v>
      </c>
      <c r="D150" s="177"/>
      <c r="E150" s="177"/>
      <c r="F150" s="177"/>
      <c r="G150" s="177" t="s">
        <v>1023</v>
      </c>
      <c r="H150" s="177"/>
      <c r="I150" s="177"/>
      <c r="J150" s="177"/>
      <c r="K150" s="177"/>
      <c r="L150" s="177"/>
      <c r="M150" s="177"/>
      <c r="N150" s="177"/>
      <c r="O150" s="177" t="s">
        <v>1023</v>
      </c>
      <c r="P150" s="177"/>
      <c r="Q150" s="693" t="s">
        <v>204</v>
      </c>
      <c r="R150" s="693" t="s">
        <v>204</v>
      </c>
      <c r="S150" s="695" t="s">
        <v>100</v>
      </c>
      <c r="T150" s="724" t="s">
        <v>94</v>
      </c>
      <c r="U150" s="693" t="s">
        <v>204</v>
      </c>
      <c r="V150" s="693" t="s">
        <v>204</v>
      </c>
      <c r="W150" s="695" t="s">
        <v>583</v>
      </c>
      <c r="X150" s="724" t="s">
        <v>523</v>
      </c>
      <c r="Y150" s="100" t="s">
        <v>391</v>
      </c>
      <c r="Z150" s="73">
        <v>4</v>
      </c>
      <c r="AA150" s="695" t="s">
        <v>582</v>
      </c>
      <c r="AB150" s="724" t="s">
        <v>525</v>
      </c>
      <c r="AC150" s="691">
        <v>0</v>
      </c>
      <c r="AD150" s="706">
        <v>1</v>
      </c>
      <c r="AE150" s="693" t="s">
        <v>16</v>
      </c>
      <c r="AF150" s="693" t="s">
        <v>21</v>
      </c>
      <c r="AG150" s="693" t="s">
        <v>204</v>
      </c>
      <c r="AH150" s="693" t="s">
        <v>638</v>
      </c>
      <c r="AI150" s="693" t="s">
        <v>77</v>
      </c>
      <c r="AJ150" s="693" t="s">
        <v>204</v>
      </c>
      <c r="AK150" s="724" t="s">
        <v>527</v>
      </c>
      <c r="AL150" s="693" t="s">
        <v>43</v>
      </c>
      <c r="AM150" s="73">
        <v>4</v>
      </c>
      <c r="AN150" s="693" t="str">
        <f t="shared" si="272"/>
        <v>Realizar campaña de sensibilización en Seguridad y Privacidad de la Información para Servidores Públicos y Contratistas</v>
      </c>
      <c r="AO150" s="72">
        <f t="shared" si="290"/>
        <v>0</v>
      </c>
      <c r="AP150" s="700" t="s">
        <v>48</v>
      </c>
      <c r="AQ150" s="168">
        <v>1</v>
      </c>
      <c r="AR150" s="693" t="str">
        <f t="shared" si="267"/>
        <v>Realizar campaña de sensibilización en Seguridad y Privacidad de la Información para Servidores Públicos y Contratistas</v>
      </c>
      <c r="AS150" s="722">
        <f t="shared" si="291"/>
        <v>0</v>
      </c>
      <c r="AT150" s="695">
        <v>1</v>
      </c>
      <c r="AU150" s="701">
        <v>0</v>
      </c>
      <c r="AV150" s="690">
        <f t="shared" si="292"/>
        <v>1</v>
      </c>
      <c r="AW150" s="690" t="e">
        <f t="shared" si="243"/>
        <v>#DIV/0!</v>
      </c>
      <c r="AX150" s="690">
        <f t="shared" si="293"/>
        <v>0.25</v>
      </c>
      <c r="AY150" s="690" t="e">
        <f t="shared" si="294"/>
        <v>#DIV/0!</v>
      </c>
      <c r="AZ150" s="484" t="s">
        <v>1326</v>
      </c>
      <c r="BA150" s="168">
        <v>1</v>
      </c>
      <c r="BB150" s="693" t="str">
        <f t="shared" si="295"/>
        <v>Realizar campaña de sensibilización en Seguridad y Privacidad de la Información para Servidores Públicos y Contratistas</v>
      </c>
      <c r="BC150" s="722">
        <v>0</v>
      </c>
      <c r="BD150" s="855">
        <v>1</v>
      </c>
      <c r="BE150" s="701">
        <v>0</v>
      </c>
      <c r="BF150" s="690">
        <f t="shared" si="246"/>
        <v>1</v>
      </c>
      <c r="BG150" s="690" t="e">
        <f t="shared" si="247"/>
        <v>#DIV/0!</v>
      </c>
      <c r="BH150" s="690">
        <f t="shared" si="248"/>
        <v>0.5</v>
      </c>
      <c r="BI150" s="690" t="e">
        <f t="shared" si="249"/>
        <v>#DIV/0!</v>
      </c>
      <c r="BJ150" s="516" t="s">
        <v>1688</v>
      </c>
      <c r="BK150" s="168">
        <v>1</v>
      </c>
      <c r="BL150" s="693" t="str">
        <f t="shared" si="269"/>
        <v>Realizar campaña de sensibilización en Seguridad y Privacidad de la Información para Servidores Públicos y Contratistas</v>
      </c>
      <c r="BM150" s="722">
        <v>0</v>
      </c>
      <c r="BN150" s="695"/>
      <c r="BO150" s="695"/>
      <c r="BP150" s="690">
        <f>+(BN150/BK150)</f>
        <v>0</v>
      </c>
      <c r="BQ150" s="690" t="e">
        <f>+(BO150/BM150)</f>
        <v>#DIV/0!</v>
      </c>
      <c r="BR150" s="690">
        <f>+(BD150+AT150+BN150)/AM150</f>
        <v>0.5</v>
      </c>
      <c r="BS150" s="690" t="e">
        <f>+(BE150+AU150+BO150)/AO150</f>
        <v>#DIV/0!</v>
      </c>
      <c r="BT150" s="690"/>
      <c r="BU150" s="168">
        <v>1</v>
      </c>
      <c r="BV150" s="693" t="str">
        <f t="shared" si="270"/>
        <v>Realizar campaña de sensibilización en Seguridad y Privacidad de la Información para Servidores Públicos y Contratistas</v>
      </c>
      <c r="BW150" s="172">
        <f t="shared" si="289"/>
        <v>0</v>
      </c>
      <c r="BX150" s="695"/>
      <c r="BY150" s="695"/>
      <c r="BZ150" s="698">
        <f>+(BX150/BU150)</f>
        <v>0</v>
      </c>
      <c r="CA150" s="698" t="e">
        <f>+(BY150/BW150)</f>
        <v>#DIV/0!</v>
      </c>
      <c r="CB150" s="698">
        <f>+(BD150+AT150+BN150+BX150)/AM150</f>
        <v>0.5</v>
      </c>
      <c r="CC150" s="698" t="e">
        <f>+(BE150+AU150+BO150+BY150)/AO150</f>
        <v>#DIV/0!</v>
      </c>
      <c r="CD150" s="698"/>
      <c r="CE150" s="697">
        <f>IF(AND(AQ150=0,AT150=0),"No Prog ni Ejec",IF(AQ150=0,CONCATENATE("No Prog, Ejec=  ",AT150),AT150/AQ150))</f>
        <v>1</v>
      </c>
      <c r="CF150" s="697" t="str">
        <f>IF(AND(AS150=0,AU150=0),"No Prog ni Ejec",IF(AS150=0,CONCATENATE("No Prog, Ejec=  ",AU150),AU150/AS150))</f>
        <v>No Prog ni Ejec</v>
      </c>
      <c r="CG150" s="697">
        <f>IF(AND(BA150=0,BD150=0),"No Prog ni Ejec",IF(BA150=0,CONCATENATE("No Prog, Ejec=  ",BD150),BD150/BA150))</f>
        <v>1</v>
      </c>
      <c r="CH150" s="697" t="str">
        <f>IF(AND(BC150=0,BE150=0),"No Prog ni Ejec",IF(BC150=0,CONCATENATE("No Prog, Ejec=  ",BE150),BE150/BC150))</f>
        <v>No Prog ni Ejec</v>
      </c>
      <c r="CI150" s="697">
        <f>IF(AND(BK150=0,BN150=0),"No Prog ni Ejec",IF(BK150=0,CONCATENATE("No Prog, Ejec=  ",BN150),BN150/BK150))</f>
        <v>0</v>
      </c>
      <c r="CJ150" s="697" t="str">
        <f>IF(AND(BM150=0,BO150=0),"No Prog ni Ejec",IF(BM150=0,CONCATENATE("No Prog, Ejec=  ",BO150),BO150/BM150))</f>
        <v>No Prog ni Ejec</v>
      </c>
      <c r="CK150" s="697">
        <f>IF(AND(BU150=0,BX150=0),"No Prog ni Ejec",IF(BU150=0,CONCATENATE("No Prog, Ejec=  ",BX150),BX150/BU150))</f>
        <v>0</v>
      </c>
      <c r="CL150" s="786" t="str">
        <f>IF(AND(BW150=0,BY150=0),"No Prog ni Ejec",IF(BW150=0,CONCATENATE("No Prog, Ejec=  ",BY150),BY150/BW150))</f>
        <v>No Prog ni Ejec</v>
      </c>
      <c r="CM150" s="136">
        <f t="shared" si="271"/>
        <v>0</v>
      </c>
      <c r="CT150" s="125">
        <v>3</v>
      </c>
    </row>
    <row r="151" spans="1:107" s="70" customFormat="1" ht="255" hidden="1" x14ac:dyDescent="0.2">
      <c r="A151" s="785">
        <v>11600</v>
      </c>
      <c r="B151" s="693" t="s">
        <v>4</v>
      </c>
      <c r="C151" s="724" t="s">
        <v>1157</v>
      </c>
      <c r="D151" s="177"/>
      <c r="E151" s="177"/>
      <c r="F151" s="177"/>
      <c r="G151" s="177" t="s">
        <v>1023</v>
      </c>
      <c r="H151" s="177"/>
      <c r="I151" s="177"/>
      <c r="J151" s="177"/>
      <c r="K151" s="177"/>
      <c r="L151" s="177"/>
      <c r="M151" s="177"/>
      <c r="N151" s="177"/>
      <c r="O151" s="177" t="s">
        <v>1023</v>
      </c>
      <c r="P151" s="177"/>
      <c r="Q151" s="693" t="s">
        <v>204</v>
      </c>
      <c r="R151" s="693" t="s">
        <v>204</v>
      </c>
      <c r="S151" s="695" t="s">
        <v>100</v>
      </c>
      <c r="T151" s="724" t="s">
        <v>94</v>
      </c>
      <c r="U151" s="693" t="s">
        <v>204</v>
      </c>
      <c r="V151" s="693" t="s">
        <v>204</v>
      </c>
      <c r="W151" s="695" t="s">
        <v>1122</v>
      </c>
      <c r="X151" s="724" t="s">
        <v>524</v>
      </c>
      <c r="Y151" s="100" t="s">
        <v>391</v>
      </c>
      <c r="Z151" s="73">
        <v>2</v>
      </c>
      <c r="AA151" s="695" t="s">
        <v>1112</v>
      </c>
      <c r="AB151" s="724" t="s">
        <v>526</v>
      </c>
      <c r="AC151" s="691">
        <v>0</v>
      </c>
      <c r="AD151" s="706">
        <v>1</v>
      </c>
      <c r="AE151" s="693" t="s">
        <v>16</v>
      </c>
      <c r="AF151" s="693" t="s">
        <v>21</v>
      </c>
      <c r="AG151" s="693" t="s">
        <v>204</v>
      </c>
      <c r="AH151" s="693" t="s">
        <v>638</v>
      </c>
      <c r="AI151" s="693" t="s">
        <v>77</v>
      </c>
      <c r="AJ151" s="693" t="s">
        <v>1288</v>
      </c>
      <c r="AK151" s="724" t="s">
        <v>528</v>
      </c>
      <c r="AL151" s="693" t="s">
        <v>43</v>
      </c>
      <c r="AM151" s="73">
        <v>2</v>
      </c>
      <c r="AN151" s="693" t="str">
        <f t="shared" si="272"/>
        <v>Realizar jornadas de Capacitación en Seguridad y Privacidad de la Información para Servidores Públicos y Contratistas</v>
      </c>
      <c r="AO151" s="72">
        <f t="shared" si="290"/>
        <v>0</v>
      </c>
      <c r="AP151" s="700" t="s">
        <v>48</v>
      </c>
      <c r="AQ151" s="179">
        <v>0</v>
      </c>
      <c r="AR151" s="693" t="str">
        <f t="shared" si="267"/>
        <v>Realizar jornadas de Capacitación en Seguridad y Privacidad de la Información para Servidores Públicos y Contratistas</v>
      </c>
      <c r="AS151" s="722">
        <f t="shared" si="291"/>
        <v>0</v>
      </c>
      <c r="AT151" s="695">
        <v>0</v>
      </c>
      <c r="AU151" s="701">
        <v>0</v>
      </c>
      <c r="AV151" s="690" t="e">
        <f t="shared" si="292"/>
        <v>#DIV/0!</v>
      </c>
      <c r="AW151" s="690" t="e">
        <f t="shared" si="243"/>
        <v>#DIV/0!</v>
      </c>
      <c r="AX151" s="690">
        <f t="shared" si="293"/>
        <v>0</v>
      </c>
      <c r="AY151" s="690" t="e">
        <f t="shared" si="294"/>
        <v>#DIV/0!</v>
      </c>
      <c r="AZ151" s="484" t="s">
        <v>1327</v>
      </c>
      <c r="BA151" s="168">
        <v>1</v>
      </c>
      <c r="BB151" s="693" t="str">
        <f t="shared" si="295"/>
        <v>Realizar jornadas de Capacitación en Seguridad y Privacidad de la Información para Servidores Públicos y Contratistas</v>
      </c>
      <c r="BC151" s="722">
        <v>0</v>
      </c>
      <c r="BD151" s="855">
        <v>1</v>
      </c>
      <c r="BE151" s="701">
        <v>0</v>
      </c>
      <c r="BF151" s="690">
        <f t="shared" si="246"/>
        <v>1</v>
      </c>
      <c r="BG151" s="690" t="e">
        <f t="shared" si="247"/>
        <v>#DIV/0!</v>
      </c>
      <c r="BH151" s="690">
        <f t="shared" si="248"/>
        <v>0.5</v>
      </c>
      <c r="BI151" s="690" t="e">
        <f t="shared" si="249"/>
        <v>#DIV/0!</v>
      </c>
      <c r="BJ151" s="516" t="s">
        <v>1689</v>
      </c>
      <c r="BK151" s="179">
        <v>0</v>
      </c>
      <c r="BL151" s="693" t="str">
        <f t="shared" si="269"/>
        <v>Realizar jornadas de Capacitación en Seguridad y Privacidad de la Información para Servidores Públicos y Contratistas</v>
      </c>
      <c r="BM151" s="722">
        <v>0</v>
      </c>
      <c r="BN151" s="695"/>
      <c r="BO151" s="695"/>
      <c r="BP151" s="690" t="e">
        <f>+(BN151/BK151)</f>
        <v>#DIV/0!</v>
      </c>
      <c r="BQ151" s="690" t="e">
        <f>+(BO151/BM151)</f>
        <v>#DIV/0!</v>
      </c>
      <c r="BR151" s="690">
        <f>+(BD151+AT151+BN151)/AM151</f>
        <v>0.5</v>
      </c>
      <c r="BS151" s="690" t="e">
        <f>+(BE151+AU151+BO151)/AO151</f>
        <v>#DIV/0!</v>
      </c>
      <c r="BT151" s="690"/>
      <c r="BU151" s="168">
        <v>1</v>
      </c>
      <c r="BV151" s="693" t="str">
        <f t="shared" si="270"/>
        <v>Realizar jornadas de Capacitación en Seguridad y Privacidad de la Información para Servidores Públicos y Contratistas</v>
      </c>
      <c r="BW151" s="172">
        <f t="shared" si="289"/>
        <v>0</v>
      </c>
      <c r="BX151" s="695"/>
      <c r="BY151" s="695"/>
      <c r="BZ151" s="698">
        <f>+(BX151/BU151)</f>
        <v>0</v>
      </c>
      <c r="CA151" s="698" t="e">
        <f>+(BY151/BW151)</f>
        <v>#DIV/0!</v>
      </c>
      <c r="CB151" s="698">
        <f>+(BD151+AT151+BN151+BX151)/AM151</f>
        <v>0.5</v>
      </c>
      <c r="CC151" s="698" t="e">
        <f>+(BE151+AU151+BO151+BY151)/AO151</f>
        <v>#DIV/0!</v>
      </c>
      <c r="CD151" s="698"/>
      <c r="CE151" s="697" t="str">
        <f>IF(AND(AQ151=0,AT151=0),"No Prog ni Ejec",IF(AQ151=0,CONCATENATE("No Prog, Ejec=  ",AT151),AT151/AQ151))</f>
        <v>No Prog ni Ejec</v>
      </c>
      <c r="CF151" s="697" t="str">
        <f>IF(AND(AS151=0,AU151=0),"No Prog ni Ejec",IF(AS151=0,CONCATENATE("No Prog, Ejec=  ",AU151),AU151/AS151))</f>
        <v>No Prog ni Ejec</v>
      </c>
      <c r="CG151" s="697">
        <f>IF(AND(BA151=0,BD151=0),"No Prog ni Ejec",IF(BA151=0,CONCATENATE("No Prog, Ejec=  ",BD151),BD151/BA151))</f>
        <v>1</v>
      </c>
      <c r="CH151" s="697" t="str">
        <f>IF(AND(BC151=0,BE151=0),"No Prog ni Ejec",IF(BC151=0,CONCATENATE("No Prog, Ejec=  ",BE151),BE151/BC151))</f>
        <v>No Prog ni Ejec</v>
      </c>
      <c r="CI151" s="697" t="str">
        <f>IF(AND(BK151=0,BN151=0),"No Prog ni Ejec",IF(BK151=0,CONCATENATE("No Prog, Ejec=  ",BN151),BN151/BK151))</f>
        <v>No Prog ni Ejec</v>
      </c>
      <c r="CJ151" s="697" t="str">
        <f>IF(AND(BM151=0,BO151=0),"No Prog ni Ejec",IF(BM151=0,CONCATENATE("No Prog, Ejec=  ",BO151),BO151/BM151))</f>
        <v>No Prog ni Ejec</v>
      </c>
      <c r="CK151" s="697">
        <f>IF(AND(BU151=0,BX151=0),"No Prog ni Ejec",IF(BU151=0,CONCATENATE("No Prog, Ejec=  ",BX151),BX151/BU151))</f>
        <v>0</v>
      </c>
      <c r="CL151" s="786" t="str">
        <f>IF(AND(BW151=0,BY151=0),"No Prog ni Ejec",IF(BW151=0,CONCATENATE("No Prog, Ejec=  ",BY151),BY151/BW151))</f>
        <v>No Prog ni Ejec</v>
      </c>
      <c r="CM151" s="136">
        <f t="shared" si="271"/>
        <v>0</v>
      </c>
      <c r="CT151" s="125">
        <v>3</v>
      </c>
    </row>
    <row r="152" spans="1:107" s="81" customFormat="1" ht="99" hidden="1" customHeight="1" x14ac:dyDescent="0.2">
      <c r="A152" s="785">
        <v>12000</v>
      </c>
      <c r="B152" s="693" t="s">
        <v>15</v>
      </c>
      <c r="C152" s="693" t="s">
        <v>336</v>
      </c>
      <c r="D152" s="129" t="s">
        <v>1023</v>
      </c>
      <c r="E152" s="129"/>
      <c r="F152" s="129"/>
      <c r="G152" s="129"/>
      <c r="H152" s="129"/>
      <c r="I152" s="129"/>
      <c r="J152" s="129"/>
      <c r="K152" s="129"/>
      <c r="L152" s="129"/>
      <c r="M152" s="129"/>
      <c r="N152" s="129"/>
      <c r="O152" s="129"/>
      <c r="P152" s="129"/>
      <c r="Q152" s="693" t="s">
        <v>1134</v>
      </c>
      <c r="R152" s="693" t="s">
        <v>1645</v>
      </c>
      <c r="S152" s="695" t="s">
        <v>53</v>
      </c>
      <c r="T152" s="693" t="s">
        <v>94</v>
      </c>
      <c r="U152" s="693" t="s">
        <v>204</v>
      </c>
      <c r="V152" s="693" t="s">
        <v>204</v>
      </c>
      <c r="W152" s="695" t="s">
        <v>889</v>
      </c>
      <c r="X152" s="693" t="s">
        <v>530</v>
      </c>
      <c r="Y152" s="60" t="s">
        <v>391</v>
      </c>
      <c r="Z152" s="73">
        <v>1</v>
      </c>
      <c r="AA152" s="695" t="s">
        <v>887</v>
      </c>
      <c r="AB152" s="693" t="s">
        <v>531</v>
      </c>
      <c r="AC152" s="722">
        <v>0</v>
      </c>
      <c r="AD152" s="706">
        <v>1</v>
      </c>
      <c r="AE152" s="693" t="s">
        <v>17</v>
      </c>
      <c r="AF152" s="693" t="s">
        <v>295</v>
      </c>
      <c r="AG152" s="693" t="s">
        <v>204</v>
      </c>
      <c r="AH152" s="693" t="s">
        <v>638</v>
      </c>
      <c r="AI152" s="693" t="s">
        <v>1045</v>
      </c>
      <c r="AJ152" s="693" t="s">
        <v>1278</v>
      </c>
      <c r="AK152" s="693" t="s">
        <v>532</v>
      </c>
      <c r="AL152" s="693" t="s">
        <v>204</v>
      </c>
      <c r="AM152" s="73">
        <v>1</v>
      </c>
      <c r="AN152" s="693" t="str">
        <f t="shared" ref="AN152:AN164" si="296">+AB152</f>
        <v>Actualiza y formalizar la Política del Sistema Integrado de Administración de Riesgos de la ADRES.</v>
      </c>
      <c r="AO152" s="703">
        <f t="shared" ref="AO152:AO164" si="297">+AC152</f>
        <v>0</v>
      </c>
      <c r="AP152" s="700" t="s">
        <v>48</v>
      </c>
      <c r="AQ152" s="66">
        <v>0</v>
      </c>
      <c r="AR152" s="693" t="str">
        <f t="shared" ref="AR152:AR165" si="298">+AN152</f>
        <v>Actualiza y formalizar la Política del Sistema Integrado de Administración de Riesgos de la ADRES.</v>
      </c>
      <c r="AS152" s="691">
        <f t="shared" ref="AS152:AS163" si="299">+AO152/4</f>
        <v>0</v>
      </c>
      <c r="AT152" s="695">
        <v>0</v>
      </c>
      <c r="AU152" s="701">
        <v>0</v>
      </c>
      <c r="AV152" s="690" t="e">
        <f t="shared" ref="AV152:AV165" si="300">+(AT152/AQ152)</f>
        <v>#DIV/0!</v>
      </c>
      <c r="AW152" s="690" t="e">
        <f t="shared" ref="AW152:AW165" si="301">+(AU152/AS152)</f>
        <v>#DIV/0!</v>
      </c>
      <c r="AX152" s="690">
        <f t="shared" ref="AX152:AX165" si="302">+(AT152/AM152)</f>
        <v>0</v>
      </c>
      <c r="AY152" s="690" t="e">
        <f t="shared" ref="AY152:AY165" si="303">+(AU152/AO152)</f>
        <v>#DIV/0!</v>
      </c>
      <c r="AZ152" s="693" t="s">
        <v>1381</v>
      </c>
      <c r="BA152" s="66">
        <v>1</v>
      </c>
      <c r="BB152" s="693" t="str">
        <f t="shared" ref="BB152:BB165" si="304">+AN152</f>
        <v>Actualiza y formalizar la Política del Sistema Integrado de Administración de Riesgos de la ADRES.</v>
      </c>
      <c r="BC152" s="691">
        <f t="shared" ref="BC152:BC163" si="305">+AO152/4</f>
        <v>0</v>
      </c>
      <c r="BD152" s="716">
        <v>1</v>
      </c>
      <c r="BE152" s="691">
        <v>0</v>
      </c>
      <c r="BF152" s="690">
        <f t="shared" ref="BF152:BF165" si="306">+(BD152/BA152)</f>
        <v>1</v>
      </c>
      <c r="BG152" s="690" t="e">
        <f t="shared" ref="BG152:BG165" si="307">+(BE152/BC152)</f>
        <v>#DIV/0!</v>
      </c>
      <c r="BH152" s="690">
        <f t="shared" ref="BH152:BH165" si="308">+(BD152+AT152)/AM152</f>
        <v>1</v>
      </c>
      <c r="BI152" s="690" t="e">
        <f t="shared" ref="BI152:BI165" si="309">+(BE152+AU152)/AO152</f>
        <v>#DIV/0!</v>
      </c>
      <c r="BJ152" s="516" t="s">
        <v>1779</v>
      </c>
      <c r="BK152" s="66">
        <v>0</v>
      </c>
      <c r="BL152" s="693" t="str">
        <f t="shared" ref="BL152:BL165" si="310">+AN152</f>
        <v>Actualiza y formalizar la Política del Sistema Integrado de Administración de Riesgos de la ADRES.</v>
      </c>
      <c r="BM152" s="691">
        <f t="shared" ref="BM152:BM163" si="311">+AO152/4</f>
        <v>0</v>
      </c>
      <c r="BN152" s="695"/>
      <c r="BO152" s="695"/>
      <c r="BP152" s="690" t="e">
        <f t="shared" ref="BP152:BP165" si="312">+(BN152/BK152)</f>
        <v>#DIV/0!</v>
      </c>
      <c r="BQ152" s="690" t="e">
        <f t="shared" ref="BQ152:BQ165" si="313">+(BO152/BM152)</f>
        <v>#DIV/0!</v>
      </c>
      <c r="BR152" s="690">
        <f t="shared" ref="BR152:BR165" si="314">+(BD152+AT152+BN152)/AM152</f>
        <v>1</v>
      </c>
      <c r="BS152" s="690" t="e">
        <f t="shared" ref="BS152:BS165" si="315">+(BE152+AU152+BO152)/AO152</f>
        <v>#DIV/0!</v>
      </c>
      <c r="BT152" s="690"/>
      <c r="BU152" s="66">
        <v>0</v>
      </c>
      <c r="BV152" s="693" t="str">
        <f t="shared" ref="BV152:BV165" si="316">+AN152</f>
        <v>Actualiza y formalizar la Política del Sistema Integrado de Administración de Riesgos de la ADRES.</v>
      </c>
      <c r="BW152" s="691">
        <f t="shared" ref="BW152:BW163" si="317">+AO152/4</f>
        <v>0</v>
      </c>
      <c r="BX152" s="695"/>
      <c r="BY152" s="695"/>
      <c r="BZ152" s="698" t="e">
        <f t="shared" ref="BZ152:BZ165" si="318">+(BX152/BU152)</f>
        <v>#DIV/0!</v>
      </c>
      <c r="CA152" s="698" t="e">
        <f t="shared" ref="CA152:CA165" si="319">+(BY152/BW152)</f>
        <v>#DIV/0!</v>
      </c>
      <c r="CB152" s="698">
        <f t="shared" ref="CB152:CB165" si="320">+(BD152+AT152+BN152+BX152)/AM152</f>
        <v>1</v>
      </c>
      <c r="CC152" s="698" t="e">
        <f t="shared" ref="CC152:CC165" si="321">+(BE152+AU152+BO152+BY152)/AO152</f>
        <v>#DIV/0!</v>
      </c>
      <c r="CD152" s="698"/>
      <c r="CE152" s="697" t="str">
        <f t="shared" ref="CE152:CE164" si="322">IF(AND(AQ152=0,AT152=0),"No Prog ni Ejec",IF(AQ152=0,CONCATENATE("No Prog, Ejec=  ",AT152),AT152/AQ152))</f>
        <v>No Prog ni Ejec</v>
      </c>
      <c r="CF152" s="697" t="str">
        <f t="shared" ref="CF152:CF164" si="323">IF(AND(AS152=0,AU152=0),"No Prog ni Ejec",IF(AS152=0,CONCATENATE("No Prog, Ejec=  ",AU152),AU152/AS152))</f>
        <v>No Prog ni Ejec</v>
      </c>
      <c r="CG152" s="697">
        <f t="shared" ref="CG152:CG164" si="324">IF(AND(BA152=0,BD152=0),"No Prog ni Ejec",IF(BA152=0,CONCATENATE("No Prog, Ejec=  ",BD152),BD152/BA152))</f>
        <v>1</v>
      </c>
      <c r="CH152" s="697" t="str">
        <f t="shared" ref="CH152:CH164" si="325">IF(AND(BC152=0,BE152=0),"No Prog ni Ejec",IF(BC152=0,CONCATENATE("No Prog, Ejec=  ",BE152),BE152/BC152))</f>
        <v>No Prog ni Ejec</v>
      </c>
      <c r="CI152" s="697" t="str">
        <f t="shared" ref="CI152:CI164" si="326">IF(AND(BK152=0,BN152=0),"No Prog ni Ejec",IF(BK152=0,CONCATENATE("No Prog, Ejec=  ",BN152),BN152/BK152))</f>
        <v>No Prog ni Ejec</v>
      </c>
      <c r="CJ152" s="697" t="str">
        <f t="shared" ref="CJ152:CJ164" si="327">IF(AND(BM152=0,BO152=0),"No Prog ni Ejec",IF(BM152=0,CONCATENATE("No Prog, Ejec=  ",BO152),BO152/BM152))</f>
        <v>No Prog ni Ejec</v>
      </c>
      <c r="CK152" s="697" t="str">
        <f t="shared" ref="CK152:CK164" si="328">IF(AND(BU152=0,BX152=0),"No Prog ni Ejec",IF(BU152=0,CONCATENATE("No Prog, Ejec=  ",BX152),BX152/BU152))</f>
        <v>No Prog ni Ejec</v>
      </c>
      <c r="CL152" s="786" t="str">
        <f t="shared" ref="CL152:CL164" si="329">IF(AND(BW152=0,BY152=0),"No Prog ni Ejec",IF(BW152=0,CONCATENATE("No Prog, Ejec=  ",BY152),BY152/BW152))</f>
        <v>No Prog ni Ejec</v>
      </c>
      <c r="CM152" s="136">
        <f t="shared" si="271"/>
        <v>0</v>
      </c>
      <c r="CR152" s="125">
        <v>1</v>
      </c>
      <c r="CS152" s="166"/>
      <c r="CT152" s="166"/>
      <c r="CU152" s="166"/>
      <c r="CV152" s="166"/>
      <c r="CW152" s="166"/>
      <c r="CX152" s="166"/>
      <c r="CY152" s="166"/>
      <c r="CZ152" s="166"/>
      <c r="DA152" s="166"/>
      <c r="DB152" s="166"/>
      <c r="DC152" s="166"/>
    </row>
    <row r="153" spans="1:107" s="81" customFormat="1" ht="102" hidden="1" customHeight="1" x14ac:dyDescent="0.2">
      <c r="A153" s="785">
        <v>12000</v>
      </c>
      <c r="B153" s="693" t="s">
        <v>15</v>
      </c>
      <c r="C153" s="693" t="s">
        <v>336</v>
      </c>
      <c r="D153" s="129" t="s">
        <v>1023</v>
      </c>
      <c r="E153" s="129"/>
      <c r="F153" s="129"/>
      <c r="G153" s="129"/>
      <c r="H153" s="129"/>
      <c r="I153" s="129"/>
      <c r="J153" s="129"/>
      <c r="K153" s="129"/>
      <c r="L153" s="129"/>
      <c r="M153" s="129"/>
      <c r="N153" s="129"/>
      <c r="O153" s="129"/>
      <c r="P153" s="129"/>
      <c r="Q153" s="693" t="s">
        <v>1134</v>
      </c>
      <c r="R153" s="693" t="s">
        <v>1645</v>
      </c>
      <c r="S153" s="695" t="s">
        <v>53</v>
      </c>
      <c r="T153" s="693" t="s">
        <v>94</v>
      </c>
      <c r="U153" s="693" t="s">
        <v>204</v>
      </c>
      <c r="V153" s="693" t="s">
        <v>204</v>
      </c>
      <c r="W153" s="695" t="s">
        <v>956</v>
      </c>
      <c r="X153" s="693" t="s">
        <v>534</v>
      </c>
      <c r="Y153" s="60" t="s">
        <v>391</v>
      </c>
      <c r="Z153" s="73">
        <v>1</v>
      </c>
      <c r="AA153" s="968" t="s">
        <v>949</v>
      </c>
      <c r="AB153" s="959" t="s">
        <v>533</v>
      </c>
      <c r="AC153" s="1086">
        <v>0</v>
      </c>
      <c r="AD153" s="964">
        <v>1</v>
      </c>
      <c r="AE153" s="959" t="s">
        <v>18</v>
      </c>
      <c r="AF153" s="959" t="s">
        <v>24</v>
      </c>
      <c r="AG153" s="959" t="s">
        <v>204</v>
      </c>
      <c r="AH153" s="959" t="s">
        <v>638</v>
      </c>
      <c r="AI153" s="959" t="s">
        <v>1045</v>
      </c>
      <c r="AJ153" s="959" t="s">
        <v>1301</v>
      </c>
      <c r="AK153" s="693" t="s">
        <v>535</v>
      </c>
      <c r="AL153" s="959" t="s">
        <v>296</v>
      </c>
      <c r="AM153" s="73">
        <v>1</v>
      </c>
      <c r="AN153" s="959" t="str">
        <f t="shared" si="296"/>
        <v>Publicación y Socialización de la versión actualizada de la Política del Sistema Integrado de Administración de Riesgos de la ADRES.</v>
      </c>
      <c r="AO153" s="965">
        <f t="shared" si="297"/>
        <v>0</v>
      </c>
      <c r="AP153" s="700" t="s">
        <v>48</v>
      </c>
      <c r="AQ153" s="66">
        <v>0</v>
      </c>
      <c r="AR153" s="959" t="str">
        <f t="shared" si="298"/>
        <v>Publicación y Socialización de la versión actualizada de la Política del Sistema Integrado de Administración de Riesgos de la ADRES.</v>
      </c>
      <c r="AS153" s="963">
        <f t="shared" si="299"/>
        <v>0</v>
      </c>
      <c r="AT153" s="695">
        <v>0</v>
      </c>
      <c r="AU153" s="701">
        <v>0</v>
      </c>
      <c r="AV153" s="690" t="e">
        <f>+(AT153/AQ153)</f>
        <v>#DIV/0!</v>
      </c>
      <c r="AW153" s="960" t="e">
        <f>+(AU153/AS153)</f>
        <v>#DIV/0!</v>
      </c>
      <c r="AX153" s="690">
        <f t="shared" si="302"/>
        <v>0</v>
      </c>
      <c r="AY153" s="960" t="e">
        <f>+(AU153/AO153)</f>
        <v>#DIV/0!</v>
      </c>
      <c r="AZ153" s="959" t="s">
        <v>1381</v>
      </c>
      <c r="BA153" s="73">
        <v>1</v>
      </c>
      <c r="BB153" s="959" t="str">
        <f t="shared" si="304"/>
        <v>Publicación y Socialización de la versión actualizada de la Política del Sistema Integrado de Administración de Riesgos de la ADRES.</v>
      </c>
      <c r="BC153" s="963">
        <f t="shared" si="305"/>
        <v>0</v>
      </c>
      <c r="BD153" s="716">
        <v>0</v>
      </c>
      <c r="BE153" s="963">
        <v>0</v>
      </c>
      <c r="BF153" s="690">
        <f t="shared" si="306"/>
        <v>0</v>
      </c>
      <c r="BG153" s="960" t="e">
        <f t="shared" si="307"/>
        <v>#DIV/0!</v>
      </c>
      <c r="BH153" s="690">
        <f t="shared" si="308"/>
        <v>0</v>
      </c>
      <c r="BI153" s="960" t="e">
        <f t="shared" si="309"/>
        <v>#DIV/0!</v>
      </c>
      <c r="BJ153" s="512" t="s">
        <v>1780</v>
      </c>
      <c r="BK153" s="66">
        <v>0</v>
      </c>
      <c r="BL153" s="959" t="str">
        <f t="shared" si="310"/>
        <v>Publicación y Socialización de la versión actualizada de la Política del Sistema Integrado de Administración de Riesgos de la ADRES.</v>
      </c>
      <c r="BM153" s="963">
        <f t="shared" si="311"/>
        <v>0</v>
      </c>
      <c r="BN153" s="695"/>
      <c r="BO153" s="968"/>
      <c r="BP153" s="690" t="e">
        <f t="shared" si="312"/>
        <v>#DIV/0!</v>
      </c>
      <c r="BQ153" s="960" t="e">
        <f t="shared" si="313"/>
        <v>#DIV/0!</v>
      </c>
      <c r="BR153" s="690">
        <f t="shared" si="314"/>
        <v>0</v>
      </c>
      <c r="BS153" s="960" t="e">
        <f t="shared" si="315"/>
        <v>#DIV/0!</v>
      </c>
      <c r="BT153" s="690"/>
      <c r="BU153" s="66">
        <v>0</v>
      </c>
      <c r="BV153" s="959" t="str">
        <f t="shared" si="316"/>
        <v>Publicación y Socialización de la versión actualizada de la Política del Sistema Integrado de Administración de Riesgos de la ADRES.</v>
      </c>
      <c r="BW153" s="963">
        <f t="shared" si="317"/>
        <v>0</v>
      </c>
      <c r="BX153" s="695"/>
      <c r="BY153" s="968"/>
      <c r="BZ153" s="698" t="e">
        <f t="shared" si="318"/>
        <v>#DIV/0!</v>
      </c>
      <c r="CA153" s="957" t="e">
        <f t="shared" si="319"/>
        <v>#DIV/0!</v>
      </c>
      <c r="CB153" s="698">
        <f t="shared" si="320"/>
        <v>0</v>
      </c>
      <c r="CC153" s="957" t="e">
        <f t="shared" si="321"/>
        <v>#DIV/0!</v>
      </c>
      <c r="CD153" s="698"/>
      <c r="CE153" s="697" t="str">
        <f t="shared" si="322"/>
        <v>No Prog ni Ejec</v>
      </c>
      <c r="CF153" s="1018" t="str">
        <f t="shared" si="323"/>
        <v>No Prog ni Ejec</v>
      </c>
      <c r="CG153" s="697">
        <f t="shared" si="324"/>
        <v>0</v>
      </c>
      <c r="CH153" s="1018" t="str">
        <f t="shared" si="325"/>
        <v>No Prog ni Ejec</v>
      </c>
      <c r="CI153" s="697" t="str">
        <f t="shared" si="326"/>
        <v>No Prog ni Ejec</v>
      </c>
      <c r="CJ153" s="1018" t="str">
        <f t="shared" si="327"/>
        <v>No Prog ni Ejec</v>
      </c>
      <c r="CK153" s="697" t="str">
        <f t="shared" si="328"/>
        <v>No Prog ni Ejec</v>
      </c>
      <c r="CL153" s="1017" t="str">
        <f t="shared" si="329"/>
        <v>No Prog ni Ejec</v>
      </c>
      <c r="CM153" s="136">
        <f t="shared" si="271"/>
        <v>0</v>
      </c>
      <c r="CR153" s="125">
        <v>1</v>
      </c>
      <c r="CS153" s="166"/>
      <c r="CT153" s="166"/>
      <c r="CU153" s="166"/>
      <c r="CV153" s="166"/>
      <c r="CW153" s="166"/>
      <c r="CX153" s="166"/>
      <c r="CY153" s="166"/>
      <c r="CZ153" s="166"/>
      <c r="DA153" s="166"/>
      <c r="DB153" s="166"/>
      <c r="DC153" s="166"/>
    </row>
    <row r="154" spans="1:107" s="81" customFormat="1" ht="103.5" hidden="1" customHeight="1" x14ac:dyDescent="0.2">
      <c r="A154" s="785">
        <v>12000</v>
      </c>
      <c r="B154" s="693" t="s">
        <v>15</v>
      </c>
      <c r="C154" s="693" t="s">
        <v>336</v>
      </c>
      <c r="D154" s="129" t="s">
        <v>1023</v>
      </c>
      <c r="E154" s="129"/>
      <c r="F154" s="129"/>
      <c r="G154" s="129" t="s">
        <v>1023</v>
      </c>
      <c r="H154" s="129"/>
      <c r="I154" s="129"/>
      <c r="J154" s="129"/>
      <c r="K154" s="129"/>
      <c r="L154" s="129"/>
      <c r="M154" s="129"/>
      <c r="N154" s="129"/>
      <c r="O154" s="129"/>
      <c r="P154" s="129"/>
      <c r="Q154" s="693" t="s">
        <v>1134</v>
      </c>
      <c r="R154" s="693" t="s">
        <v>1645</v>
      </c>
      <c r="S154" s="695" t="s">
        <v>53</v>
      </c>
      <c r="T154" s="693" t="s">
        <v>94</v>
      </c>
      <c r="U154" s="693" t="s">
        <v>204</v>
      </c>
      <c r="V154" s="693" t="s">
        <v>204</v>
      </c>
      <c r="W154" s="695" t="s">
        <v>957</v>
      </c>
      <c r="X154" s="693" t="s">
        <v>536</v>
      </c>
      <c r="Y154" s="60" t="s">
        <v>391</v>
      </c>
      <c r="Z154" s="595">
        <v>1</v>
      </c>
      <c r="AA154" s="968"/>
      <c r="AB154" s="959"/>
      <c r="AC154" s="1086"/>
      <c r="AD154" s="964"/>
      <c r="AE154" s="959"/>
      <c r="AF154" s="959"/>
      <c r="AG154" s="959"/>
      <c r="AH154" s="959"/>
      <c r="AI154" s="959"/>
      <c r="AJ154" s="959"/>
      <c r="AK154" s="702" t="s">
        <v>1522</v>
      </c>
      <c r="AL154" s="959"/>
      <c r="AM154" s="595">
        <v>1</v>
      </c>
      <c r="AN154" s="959"/>
      <c r="AO154" s="965"/>
      <c r="AP154" s="700" t="s">
        <v>48</v>
      </c>
      <c r="AQ154" s="66">
        <v>0</v>
      </c>
      <c r="AR154" s="959"/>
      <c r="AS154" s="963"/>
      <c r="AT154" s="695">
        <v>0</v>
      </c>
      <c r="AU154" s="701">
        <v>0</v>
      </c>
      <c r="AV154" s="690" t="e">
        <f>+(AT154/AQ154)</f>
        <v>#DIV/0!</v>
      </c>
      <c r="AW154" s="960"/>
      <c r="AX154" s="690">
        <f>+(AT154/AM154)</f>
        <v>0</v>
      </c>
      <c r="AY154" s="960"/>
      <c r="AZ154" s="959"/>
      <c r="BA154" s="595">
        <v>1</v>
      </c>
      <c r="BB154" s="959">
        <f t="shared" si="304"/>
        <v>0</v>
      </c>
      <c r="BC154" s="963"/>
      <c r="BD154" s="716">
        <v>1</v>
      </c>
      <c r="BE154" s="963"/>
      <c r="BF154" s="690">
        <f t="shared" si="306"/>
        <v>1</v>
      </c>
      <c r="BG154" s="960"/>
      <c r="BH154" s="690">
        <f t="shared" si="308"/>
        <v>1</v>
      </c>
      <c r="BI154" s="960"/>
      <c r="BJ154" s="512" t="s">
        <v>1780</v>
      </c>
      <c r="BK154" s="73">
        <v>0</v>
      </c>
      <c r="BL154" s="959">
        <f t="shared" si="310"/>
        <v>0</v>
      </c>
      <c r="BM154" s="963"/>
      <c r="BN154" s="695"/>
      <c r="BO154" s="968"/>
      <c r="BP154" s="690" t="e">
        <f t="shared" si="312"/>
        <v>#DIV/0!</v>
      </c>
      <c r="BQ154" s="960"/>
      <c r="BR154" s="690">
        <f t="shared" si="314"/>
        <v>1</v>
      </c>
      <c r="BS154" s="960"/>
      <c r="BT154" s="690"/>
      <c r="BU154" s="73">
        <v>0</v>
      </c>
      <c r="BV154" s="959">
        <f t="shared" si="316"/>
        <v>0</v>
      </c>
      <c r="BW154" s="963"/>
      <c r="BX154" s="695"/>
      <c r="BY154" s="968"/>
      <c r="BZ154" s="698" t="e">
        <f t="shared" si="318"/>
        <v>#DIV/0!</v>
      </c>
      <c r="CA154" s="957"/>
      <c r="CB154" s="698">
        <f t="shared" si="320"/>
        <v>1</v>
      </c>
      <c r="CC154" s="957"/>
      <c r="CD154" s="698"/>
      <c r="CE154" s="697" t="str">
        <f t="shared" si="322"/>
        <v>No Prog ni Ejec</v>
      </c>
      <c r="CF154" s="1018"/>
      <c r="CG154" s="697">
        <f t="shared" si="324"/>
        <v>1</v>
      </c>
      <c r="CH154" s="1018"/>
      <c r="CI154" s="697" t="str">
        <f t="shared" si="326"/>
        <v>No Prog ni Ejec</v>
      </c>
      <c r="CJ154" s="1018"/>
      <c r="CK154" s="697" t="str">
        <f t="shared" si="328"/>
        <v>No Prog ni Ejec</v>
      </c>
      <c r="CL154" s="1017"/>
      <c r="CM154" s="136">
        <f t="shared" si="271"/>
        <v>0</v>
      </c>
      <c r="CR154" s="125">
        <v>1</v>
      </c>
      <c r="CS154" s="166"/>
      <c r="CT154" s="166"/>
      <c r="CU154" s="166"/>
      <c r="CV154" s="166"/>
      <c r="CW154" s="166"/>
      <c r="CX154" s="166"/>
      <c r="CY154" s="166"/>
      <c r="CZ154" s="166"/>
      <c r="DA154" s="166"/>
      <c r="DB154" s="166"/>
      <c r="DC154" s="166"/>
    </row>
    <row r="155" spans="1:107" s="81" customFormat="1" ht="98.25" hidden="1" customHeight="1" x14ac:dyDescent="0.2">
      <c r="A155" s="785">
        <v>12000</v>
      </c>
      <c r="B155" s="693" t="s">
        <v>15</v>
      </c>
      <c r="C155" s="693" t="s">
        <v>336</v>
      </c>
      <c r="D155" s="129" t="s">
        <v>1023</v>
      </c>
      <c r="E155" s="129"/>
      <c r="F155" s="129"/>
      <c r="G155" s="129"/>
      <c r="H155" s="129"/>
      <c r="I155" s="129"/>
      <c r="J155" s="129"/>
      <c r="K155" s="129"/>
      <c r="L155" s="129"/>
      <c r="M155" s="129"/>
      <c r="N155" s="129"/>
      <c r="O155" s="129"/>
      <c r="P155" s="129"/>
      <c r="Q155" s="693" t="s">
        <v>1134</v>
      </c>
      <c r="R155" s="693" t="s">
        <v>1140</v>
      </c>
      <c r="S155" s="695" t="s">
        <v>53</v>
      </c>
      <c r="T155" s="693" t="s">
        <v>94</v>
      </c>
      <c r="U155" s="693" t="s">
        <v>204</v>
      </c>
      <c r="V155" s="693" t="s">
        <v>204</v>
      </c>
      <c r="W155" s="968" t="s">
        <v>958</v>
      </c>
      <c r="X155" s="1130" t="s">
        <v>1618</v>
      </c>
      <c r="Y155" s="1132" t="s">
        <v>51</v>
      </c>
      <c r="Z155" s="1134">
        <v>1</v>
      </c>
      <c r="AA155" s="968" t="s">
        <v>950</v>
      </c>
      <c r="AB155" s="959" t="s">
        <v>1060</v>
      </c>
      <c r="AC155" s="1086">
        <v>0</v>
      </c>
      <c r="AD155" s="964">
        <v>1</v>
      </c>
      <c r="AE155" s="959" t="s">
        <v>17</v>
      </c>
      <c r="AF155" s="959" t="s">
        <v>295</v>
      </c>
      <c r="AG155" s="959" t="s">
        <v>204</v>
      </c>
      <c r="AH155" s="959" t="s">
        <v>638</v>
      </c>
      <c r="AI155" s="959" t="s">
        <v>1045</v>
      </c>
      <c r="AJ155" s="959" t="s">
        <v>1312</v>
      </c>
      <c r="AK155" s="702" t="s">
        <v>1523</v>
      </c>
      <c r="AL155" s="959" t="s">
        <v>204</v>
      </c>
      <c r="AM155" s="726">
        <v>1</v>
      </c>
      <c r="AN155" s="959" t="str">
        <f t="shared" si="296"/>
        <v>Realizar reuniones de autocontrol y seguimiento a los procesos que evidencien el monitoreo a los riesgos, indicadores, planes de mejoramiento, manuales y documentos asociados</v>
      </c>
      <c r="AO155" s="965">
        <f t="shared" si="297"/>
        <v>0</v>
      </c>
      <c r="AP155" s="700" t="s">
        <v>48</v>
      </c>
      <c r="AQ155" s="698">
        <v>0.25</v>
      </c>
      <c r="AR155" s="959" t="str">
        <f>+AN155</f>
        <v>Realizar reuniones de autocontrol y seguimiento a los procesos que evidencien el monitoreo a los riesgos, indicadores, planes de mejoramiento, manuales y documentos asociados</v>
      </c>
      <c r="AS155" s="963">
        <f t="shared" si="299"/>
        <v>0</v>
      </c>
      <c r="AT155" s="519">
        <f>(9/92)</f>
        <v>9.7826086956521743E-2</v>
      </c>
      <c r="AU155" s="1016">
        <v>0</v>
      </c>
      <c r="AV155" s="690">
        <f t="shared" si="300"/>
        <v>0.39130434782608697</v>
      </c>
      <c r="AW155" s="1123" t="e">
        <f>+AU155/AS155</f>
        <v>#DIV/0!</v>
      </c>
      <c r="AX155" s="690">
        <f t="shared" si="302"/>
        <v>9.7826086956521743E-2</v>
      </c>
      <c r="AY155" s="1123" t="e">
        <f>+AU155/AO155</f>
        <v>#DIV/0!</v>
      </c>
      <c r="AZ155" s="693" t="s">
        <v>1382</v>
      </c>
      <c r="BA155" s="627">
        <v>0</v>
      </c>
      <c r="BB155" s="959" t="str">
        <f t="shared" si="304"/>
        <v>Realizar reuniones de autocontrol y seguimiento a los procesos que evidencien el monitoreo a los riesgos, indicadores, planes de mejoramiento, manuales y documentos asociados</v>
      </c>
      <c r="BC155" s="963">
        <f t="shared" si="305"/>
        <v>0</v>
      </c>
      <c r="BD155" s="515">
        <v>0</v>
      </c>
      <c r="BE155" s="963">
        <v>0</v>
      </c>
      <c r="BF155" s="690" t="e">
        <f t="shared" si="306"/>
        <v>#DIV/0!</v>
      </c>
      <c r="BG155" s="960" t="e">
        <f>+(BE155/BC155)</f>
        <v>#DIV/0!</v>
      </c>
      <c r="BH155" s="690">
        <f t="shared" si="308"/>
        <v>9.7826086956521743E-2</v>
      </c>
      <c r="BI155" s="1119" t="e">
        <f>+(BE155+AU155)/AO155</f>
        <v>#DIV/0!</v>
      </c>
      <c r="BJ155" s="512"/>
      <c r="BK155" s="627">
        <v>0.75</v>
      </c>
      <c r="BL155" s="959" t="str">
        <f t="shared" si="310"/>
        <v>Realizar reuniones de autocontrol y seguimiento a los procesos que evidencien el monitoreo a los riesgos, indicadores, planes de mejoramiento, manuales y documentos asociados</v>
      </c>
      <c r="BM155" s="963">
        <f t="shared" si="311"/>
        <v>0</v>
      </c>
      <c r="BN155" s="695"/>
      <c r="BO155" s="968"/>
      <c r="BP155" s="690">
        <f t="shared" si="312"/>
        <v>0</v>
      </c>
      <c r="BQ155" s="1119" t="e">
        <f>BO155/BM155</f>
        <v>#DIV/0!</v>
      </c>
      <c r="BR155" s="690">
        <f t="shared" si="314"/>
        <v>9.7826086956521743E-2</v>
      </c>
      <c r="BS155" s="1119" t="e">
        <f>+(BE155+AU155+BO155)/AO155</f>
        <v>#DIV/0!</v>
      </c>
      <c r="BT155" s="690"/>
      <c r="BU155" s="627">
        <v>0</v>
      </c>
      <c r="BV155" s="959" t="str">
        <f t="shared" si="316"/>
        <v>Realizar reuniones de autocontrol y seguimiento a los procesos que evidencien el monitoreo a los riesgos, indicadores, planes de mejoramiento, manuales y documentos asociados</v>
      </c>
      <c r="BW155" s="963">
        <f t="shared" si="317"/>
        <v>0</v>
      </c>
      <c r="BX155" s="695"/>
      <c r="BY155" s="968"/>
      <c r="BZ155" s="698" t="e">
        <f t="shared" si="318"/>
        <v>#DIV/0!</v>
      </c>
      <c r="CA155" s="957" t="e">
        <f>+(BY155/BW155)</f>
        <v>#DIV/0!</v>
      </c>
      <c r="CB155" s="698">
        <f t="shared" si="320"/>
        <v>9.7826086956521743E-2</v>
      </c>
      <c r="CC155" s="1114" t="e">
        <f>+(BE155+AU155+BO155+BY155)/AO155</f>
        <v>#DIV/0!</v>
      </c>
      <c r="CD155" s="698"/>
      <c r="CE155" s="697">
        <f t="shared" si="322"/>
        <v>0.39130434782608697</v>
      </c>
      <c r="CF155" s="1018" t="str">
        <f>IF(AND(AS155=0,AU155=0),"No Prog ni Ejec",IF(AS155=0,CONCATENATE("No Prog, Ejec=  ",AU155),AU155/AS155))</f>
        <v>No Prog ni Ejec</v>
      </c>
      <c r="CG155" s="697" t="str">
        <f t="shared" si="324"/>
        <v>No Prog ni Ejec</v>
      </c>
      <c r="CH155" s="1018" t="str">
        <f>IF(AND(BC155=0,BE155=0),"No Prog ni Ejec",IF(BC155=0,CONCATENATE("No Prog, Ejec=  ",BE155),BE155/BC155))</f>
        <v>No Prog ni Ejec</v>
      </c>
      <c r="CI155" s="697">
        <f t="shared" si="326"/>
        <v>0</v>
      </c>
      <c r="CJ155" s="1018" t="str">
        <f>IF(AND(BM155=0,BO155=0),"No Prog ni Ejec",IF(BM155=0,CONCATENATE("No Prog, Ejec=  ",BO155),BO155/BM155))</f>
        <v>No Prog ni Ejec</v>
      </c>
      <c r="CK155" s="697" t="str">
        <f t="shared" si="328"/>
        <v>No Prog ni Ejec</v>
      </c>
      <c r="CL155" s="1017" t="str">
        <f>IF(AND(BW155=0,BY155=0),"No Prog ni Ejec",IF(BW155=0,CONCATENATE("No Prog, Ejec=  ",BY155),BY155/BW155))</f>
        <v>No Prog ni Ejec</v>
      </c>
      <c r="CM155" s="136">
        <f t="shared" si="271"/>
        <v>0</v>
      </c>
      <c r="CR155" s="125">
        <v>1</v>
      </c>
      <c r="CS155" s="166"/>
      <c r="CT155" s="166"/>
      <c r="CU155" s="166"/>
      <c r="CV155" s="166"/>
      <c r="CW155" s="166"/>
      <c r="CX155" s="166"/>
      <c r="CY155" s="166"/>
      <c r="CZ155" s="166"/>
      <c r="DA155" s="166"/>
      <c r="DB155" s="166"/>
      <c r="DC155" s="166"/>
    </row>
    <row r="156" spans="1:107" s="81" customFormat="1" ht="98.25" hidden="1" customHeight="1" x14ac:dyDescent="0.2">
      <c r="A156" s="785">
        <v>12000</v>
      </c>
      <c r="B156" s="693" t="s">
        <v>15</v>
      </c>
      <c r="C156" s="693" t="s">
        <v>336</v>
      </c>
      <c r="D156" s="129"/>
      <c r="E156" s="129"/>
      <c r="F156" s="129"/>
      <c r="G156" s="129"/>
      <c r="H156" s="129"/>
      <c r="I156" s="129"/>
      <c r="J156" s="129"/>
      <c r="K156" s="129"/>
      <c r="L156" s="129"/>
      <c r="M156" s="129"/>
      <c r="N156" s="129"/>
      <c r="O156" s="129"/>
      <c r="P156" s="129"/>
      <c r="Q156" s="693" t="s">
        <v>1134</v>
      </c>
      <c r="R156" s="693" t="s">
        <v>1140</v>
      </c>
      <c r="S156" s="695" t="s">
        <v>53</v>
      </c>
      <c r="T156" s="693" t="s">
        <v>94</v>
      </c>
      <c r="U156" s="693" t="s">
        <v>204</v>
      </c>
      <c r="V156" s="693" t="s">
        <v>204</v>
      </c>
      <c r="W156" s="968"/>
      <c r="X156" s="1130"/>
      <c r="Y156" s="1132"/>
      <c r="Z156" s="1134"/>
      <c r="AA156" s="968"/>
      <c r="AB156" s="959"/>
      <c r="AC156" s="1086"/>
      <c r="AD156" s="964"/>
      <c r="AE156" s="959"/>
      <c r="AF156" s="959"/>
      <c r="AG156" s="959"/>
      <c r="AH156" s="959"/>
      <c r="AI156" s="959"/>
      <c r="AJ156" s="959"/>
      <c r="AK156" s="702" t="s">
        <v>1605</v>
      </c>
      <c r="AL156" s="959"/>
      <c r="AM156" s="597">
        <v>1</v>
      </c>
      <c r="AN156" s="959"/>
      <c r="AO156" s="965"/>
      <c r="AP156" s="700" t="s">
        <v>48</v>
      </c>
      <c r="AQ156" s="597">
        <v>0</v>
      </c>
      <c r="AR156" s="959"/>
      <c r="AS156" s="963"/>
      <c r="AT156" s="519"/>
      <c r="AU156" s="1016"/>
      <c r="AV156" s="690" t="e">
        <f t="shared" si="300"/>
        <v>#DIV/0!</v>
      </c>
      <c r="AW156" s="1123"/>
      <c r="AX156" s="690">
        <f t="shared" si="302"/>
        <v>0</v>
      </c>
      <c r="AY156" s="1123"/>
      <c r="AZ156" s="693"/>
      <c r="BA156" s="597">
        <v>0</v>
      </c>
      <c r="BB156" s="959"/>
      <c r="BC156" s="963"/>
      <c r="BD156" s="716">
        <v>0</v>
      </c>
      <c r="BE156" s="963"/>
      <c r="BF156" s="690" t="e">
        <f t="shared" si="306"/>
        <v>#DIV/0!</v>
      </c>
      <c r="BG156" s="960"/>
      <c r="BH156" s="690">
        <f t="shared" si="308"/>
        <v>0</v>
      </c>
      <c r="BI156" s="1119"/>
      <c r="BJ156" s="512"/>
      <c r="BK156" s="597">
        <v>0</v>
      </c>
      <c r="BL156" s="959"/>
      <c r="BM156" s="963"/>
      <c r="BN156" s="695"/>
      <c r="BO156" s="968"/>
      <c r="BP156" s="690" t="e">
        <f t="shared" si="312"/>
        <v>#DIV/0!</v>
      </c>
      <c r="BQ156" s="960"/>
      <c r="BR156" s="690">
        <f t="shared" si="314"/>
        <v>0</v>
      </c>
      <c r="BS156" s="1119"/>
      <c r="BT156" s="690"/>
      <c r="BU156" s="597">
        <v>1</v>
      </c>
      <c r="BV156" s="959"/>
      <c r="BW156" s="963"/>
      <c r="BX156" s="695"/>
      <c r="BY156" s="968"/>
      <c r="BZ156" s="698">
        <f t="shared" si="318"/>
        <v>0</v>
      </c>
      <c r="CA156" s="957"/>
      <c r="CB156" s="698">
        <f t="shared" si="320"/>
        <v>0</v>
      </c>
      <c r="CC156" s="1114"/>
      <c r="CD156" s="698"/>
      <c r="CE156" s="697" t="str">
        <f t="shared" si="322"/>
        <v>No Prog ni Ejec</v>
      </c>
      <c r="CF156" s="1018"/>
      <c r="CG156" s="697" t="str">
        <f t="shared" si="324"/>
        <v>No Prog ni Ejec</v>
      </c>
      <c r="CH156" s="1018"/>
      <c r="CI156" s="697" t="str">
        <f t="shared" si="326"/>
        <v>No Prog ni Ejec</v>
      </c>
      <c r="CJ156" s="1018"/>
      <c r="CK156" s="697">
        <f t="shared" si="328"/>
        <v>0</v>
      </c>
      <c r="CL156" s="1017"/>
      <c r="CM156" s="136"/>
      <c r="CR156" s="125"/>
      <c r="CS156" s="166"/>
      <c r="CT156" s="166"/>
      <c r="CU156" s="166"/>
      <c r="CV156" s="166"/>
      <c r="CW156" s="166"/>
      <c r="CX156" s="166"/>
      <c r="CY156" s="166"/>
      <c r="CZ156" s="166"/>
      <c r="DA156" s="166"/>
      <c r="DB156" s="166"/>
      <c r="DC156" s="166"/>
    </row>
    <row r="157" spans="1:107" s="677" customFormat="1" ht="127.5" hidden="1" x14ac:dyDescent="0.2">
      <c r="A157" s="880">
        <v>12000</v>
      </c>
      <c r="B157" s="713" t="s">
        <v>15</v>
      </c>
      <c r="C157" s="713" t="s">
        <v>336</v>
      </c>
      <c r="D157" s="129" t="s">
        <v>1023</v>
      </c>
      <c r="E157" s="129"/>
      <c r="F157" s="129"/>
      <c r="G157" s="129"/>
      <c r="H157" s="129"/>
      <c r="I157" s="129"/>
      <c r="J157" s="129"/>
      <c r="K157" s="129"/>
      <c r="L157" s="129"/>
      <c r="M157" s="129"/>
      <c r="N157" s="129"/>
      <c r="O157" s="129"/>
      <c r="P157" s="129"/>
      <c r="Q157" s="693" t="s">
        <v>1134</v>
      </c>
      <c r="R157" s="693" t="s">
        <v>1140</v>
      </c>
      <c r="S157" s="695" t="s">
        <v>53</v>
      </c>
      <c r="T157" s="693" t="s">
        <v>94</v>
      </c>
      <c r="U157" s="693" t="s">
        <v>204</v>
      </c>
      <c r="V157" s="693" t="s">
        <v>204</v>
      </c>
      <c r="W157" s="1084"/>
      <c r="X157" s="1131"/>
      <c r="Y157" s="1133"/>
      <c r="Z157" s="1135"/>
      <c r="AA157" s="1084"/>
      <c r="AB157" s="1085"/>
      <c r="AC157" s="1087"/>
      <c r="AD157" s="964"/>
      <c r="AE157" s="959"/>
      <c r="AF157" s="959"/>
      <c r="AG157" s="959"/>
      <c r="AH157" s="959"/>
      <c r="AI157" s="959"/>
      <c r="AJ157" s="959"/>
      <c r="AK157" s="713" t="s">
        <v>537</v>
      </c>
      <c r="AL157" s="959"/>
      <c r="AM157" s="727">
        <v>1</v>
      </c>
      <c r="AN157" s="1085"/>
      <c r="AO157" s="1126"/>
      <c r="AP157" s="700" t="s">
        <v>48</v>
      </c>
      <c r="AQ157" s="711">
        <v>0.25</v>
      </c>
      <c r="AR157" s="1085"/>
      <c r="AS157" s="1117"/>
      <c r="AT157" s="675">
        <f>0*AQ157</f>
        <v>0</v>
      </c>
      <c r="AU157" s="1136"/>
      <c r="AV157" s="714">
        <f>+(AT157/AQ157)</f>
        <v>0</v>
      </c>
      <c r="AW157" s="1124"/>
      <c r="AX157" s="714">
        <f t="shared" si="302"/>
        <v>0</v>
      </c>
      <c r="AY157" s="1125"/>
      <c r="AZ157" s="713" t="s">
        <v>1619</v>
      </c>
      <c r="BA157" s="711">
        <v>0.25</v>
      </c>
      <c r="BB157" s="1085"/>
      <c r="BC157" s="1117"/>
      <c r="BD157" s="675"/>
      <c r="BE157" s="1117"/>
      <c r="BF157" s="714">
        <f t="shared" si="306"/>
        <v>0</v>
      </c>
      <c r="BG157" s="1118"/>
      <c r="BH157" s="714">
        <f t="shared" si="308"/>
        <v>0</v>
      </c>
      <c r="BI157" s="1118"/>
      <c r="BJ157" s="861"/>
      <c r="BK157" s="711">
        <v>0.25</v>
      </c>
      <c r="BL157" s="1085"/>
      <c r="BM157" s="1117"/>
      <c r="BN157" s="718"/>
      <c r="BO157" s="1084"/>
      <c r="BP157" s="714">
        <f t="shared" si="312"/>
        <v>0</v>
      </c>
      <c r="BQ157" s="1118"/>
      <c r="BR157" s="714">
        <f t="shared" si="314"/>
        <v>0</v>
      </c>
      <c r="BS157" s="1118"/>
      <c r="BT157" s="714"/>
      <c r="BU157" s="711">
        <v>0.25</v>
      </c>
      <c r="BV157" s="1085"/>
      <c r="BW157" s="1117"/>
      <c r="BX157" s="718"/>
      <c r="BY157" s="1084"/>
      <c r="BZ157" s="711">
        <f t="shared" si="318"/>
        <v>0</v>
      </c>
      <c r="CA157" s="1115"/>
      <c r="CB157" s="711">
        <f t="shared" si="320"/>
        <v>0</v>
      </c>
      <c r="CC157" s="1115"/>
      <c r="CD157" s="711"/>
      <c r="CE157" s="712">
        <f t="shared" si="322"/>
        <v>0</v>
      </c>
      <c r="CF157" s="1116"/>
      <c r="CG157" s="712">
        <f t="shared" si="324"/>
        <v>0</v>
      </c>
      <c r="CH157" s="1116"/>
      <c r="CI157" s="712">
        <f t="shared" si="326"/>
        <v>0</v>
      </c>
      <c r="CJ157" s="1116"/>
      <c r="CK157" s="712">
        <f t="shared" si="328"/>
        <v>0</v>
      </c>
      <c r="CL157" s="1127"/>
      <c r="CM157" s="676">
        <f t="shared" si="271"/>
        <v>0</v>
      </c>
      <c r="CR157" s="125">
        <v>1</v>
      </c>
      <c r="CS157" s="166"/>
      <c r="CT157" s="166"/>
      <c r="CU157" s="166"/>
      <c r="CV157" s="166"/>
      <c r="CW157" s="166"/>
      <c r="CX157" s="166"/>
      <c r="CY157" s="166"/>
      <c r="CZ157" s="166"/>
      <c r="DA157" s="166"/>
      <c r="DB157" s="166"/>
      <c r="DC157" s="166"/>
    </row>
    <row r="158" spans="1:107" s="81" customFormat="1" ht="105.75" hidden="1" customHeight="1" x14ac:dyDescent="0.2">
      <c r="A158" s="785">
        <v>12000</v>
      </c>
      <c r="B158" s="693" t="s">
        <v>15</v>
      </c>
      <c r="C158" s="693" t="s">
        <v>336</v>
      </c>
      <c r="D158" s="129" t="s">
        <v>1023</v>
      </c>
      <c r="E158" s="129"/>
      <c r="F158" s="129"/>
      <c r="G158" s="129" t="s">
        <v>1023</v>
      </c>
      <c r="H158" s="129"/>
      <c r="I158" s="129"/>
      <c r="J158" s="129"/>
      <c r="K158" s="129"/>
      <c r="L158" s="129"/>
      <c r="M158" s="129"/>
      <c r="N158" s="129"/>
      <c r="O158" s="129"/>
      <c r="P158" s="129"/>
      <c r="Q158" s="693" t="s">
        <v>1134</v>
      </c>
      <c r="R158" s="693" t="s">
        <v>1140</v>
      </c>
      <c r="S158" s="695" t="s">
        <v>53</v>
      </c>
      <c r="T158" s="693" t="s">
        <v>94</v>
      </c>
      <c r="U158" s="693" t="s">
        <v>204</v>
      </c>
      <c r="V158" s="693" t="s">
        <v>204</v>
      </c>
      <c r="W158" s="695" t="s">
        <v>959</v>
      </c>
      <c r="X158" s="702" t="s">
        <v>1524</v>
      </c>
      <c r="Y158" s="60" t="s">
        <v>391</v>
      </c>
      <c r="Z158" s="73">
        <v>2</v>
      </c>
      <c r="AA158" s="968"/>
      <c r="AB158" s="959"/>
      <c r="AC158" s="1086"/>
      <c r="AD158" s="964"/>
      <c r="AE158" s="959"/>
      <c r="AF158" s="959"/>
      <c r="AG158" s="959"/>
      <c r="AH158" s="959"/>
      <c r="AI158" s="693" t="s">
        <v>1051</v>
      </c>
      <c r="AJ158" s="693" t="s">
        <v>204</v>
      </c>
      <c r="AK158" s="702" t="s">
        <v>1525</v>
      </c>
      <c r="AL158" s="959"/>
      <c r="AM158" s="73">
        <v>2</v>
      </c>
      <c r="AN158" s="959"/>
      <c r="AO158" s="965"/>
      <c r="AP158" s="700" t="s">
        <v>48</v>
      </c>
      <c r="AQ158" s="66">
        <v>0</v>
      </c>
      <c r="AR158" s="959"/>
      <c r="AS158" s="963"/>
      <c r="AT158" s="716">
        <v>0</v>
      </c>
      <c r="AU158" s="1016"/>
      <c r="AV158" s="690" t="e">
        <f t="shared" si="300"/>
        <v>#DIV/0!</v>
      </c>
      <c r="AW158" s="1123"/>
      <c r="AX158" s="690">
        <f t="shared" si="302"/>
        <v>0</v>
      </c>
      <c r="AY158" s="954"/>
      <c r="AZ158" s="693" t="s">
        <v>1383</v>
      </c>
      <c r="BA158" s="73">
        <v>1</v>
      </c>
      <c r="BB158" s="959"/>
      <c r="BC158" s="963"/>
      <c r="BD158" s="716">
        <v>1</v>
      </c>
      <c r="BE158" s="963"/>
      <c r="BF158" s="690">
        <f t="shared" si="306"/>
        <v>1</v>
      </c>
      <c r="BG158" s="960"/>
      <c r="BH158" s="690">
        <f t="shared" si="308"/>
        <v>0.5</v>
      </c>
      <c r="BI158" s="960"/>
      <c r="BJ158" s="512" t="s">
        <v>1706</v>
      </c>
      <c r="BK158" s="73">
        <v>0</v>
      </c>
      <c r="BL158" s="959"/>
      <c r="BM158" s="963"/>
      <c r="BN158" s="695"/>
      <c r="BO158" s="968"/>
      <c r="BP158" s="690" t="e">
        <f t="shared" si="312"/>
        <v>#DIV/0!</v>
      </c>
      <c r="BQ158" s="960"/>
      <c r="BR158" s="690">
        <f t="shared" si="314"/>
        <v>0.5</v>
      </c>
      <c r="BS158" s="960"/>
      <c r="BT158" s="690"/>
      <c r="BU158" s="73">
        <v>1</v>
      </c>
      <c r="BV158" s="959"/>
      <c r="BW158" s="963"/>
      <c r="BX158" s="695"/>
      <c r="BY158" s="968"/>
      <c r="BZ158" s="698">
        <f t="shared" si="318"/>
        <v>0</v>
      </c>
      <c r="CA158" s="957"/>
      <c r="CB158" s="698">
        <f t="shared" si="320"/>
        <v>0.5</v>
      </c>
      <c r="CC158" s="957"/>
      <c r="CD158" s="698"/>
      <c r="CE158" s="697" t="str">
        <f t="shared" si="322"/>
        <v>No Prog ni Ejec</v>
      </c>
      <c r="CF158" s="1018"/>
      <c r="CG158" s="697">
        <f t="shared" si="324"/>
        <v>1</v>
      </c>
      <c r="CH158" s="1018"/>
      <c r="CI158" s="697" t="str">
        <f t="shared" si="326"/>
        <v>No Prog ni Ejec</v>
      </c>
      <c r="CJ158" s="1018"/>
      <c r="CK158" s="697">
        <f t="shared" si="328"/>
        <v>0</v>
      </c>
      <c r="CL158" s="1017"/>
      <c r="CM158" s="136">
        <f t="shared" si="271"/>
        <v>0</v>
      </c>
      <c r="CR158" s="125">
        <v>1</v>
      </c>
      <c r="CS158" s="166"/>
      <c r="CT158" s="166"/>
      <c r="CU158" s="166"/>
      <c r="CV158" s="166"/>
      <c r="CW158" s="166"/>
      <c r="CX158" s="166"/>
      <c r="CY158" s="166"/>
      <c r="CZ158" s="166"/>
      <c r="DA158" s="166"/>
      <c r="DB158" s="166"/>
      <c r="DC158" s="166"/>
    </row>
    <row r="159" spans="1:107" s="81" customFormat="1" ht="229.5" hidden="1" x14ac:dyDescent="0.2">
      <c r="A159" s="785">
        <v>12000</v>
      </c>
      <c r="B159" s="693" t="s">
        <v>15</v>
      </c>
      <c r="C159" s="693" t="s">
        <v>336</v>
      </c>
      <c r="D159" s="129" t="s">
        <v>1023</v>
      </c>
      <c r="E159" s="129"/>
      <c r="F159" s="129"/>
      <c r="G159" s="129"/>
      <c r="H159" s="129"/>
      <c r="I159" s="129"/>
      <c r="J159" s="129"/>
      <c r="K159" s="129"/>
      <c r="L159" s="129"/>
      <c r="M159" s="129"/>
      <c r="N159" s="129"/>
      <c r="O159" s="129"/>
      <c r="P159" s="129"/>
      <c r="Q159" s="693" t="s">
        <v>1134</v>
      </c>
      <c r="R159" s="693" t="s">
        <v>1147</v>
      </c>
      <c r="S159" s="695" t="s">
        <v>53</v>
      </c>
      <c r="T159" s="693" t="s">
        <v>94</v>
      </c>
      <c r="U159" s="693" t="s">
        <v>204</v>
      </c>
      <c r="V159" s="693" t="s">
        <v>204</v>
      </c>
      <c r="W159" s="695" t="s">
        <v>960</v>
      </c>
      <c r="X159" s="693" t="s">
        <v>539</v>
      </c>
      <c r="Y159" s="60" t="s">
        <v>391</v>
      </c>
      <c r="Z159" s="73">
        <v>1</v>
      </c>
      <c r="AA159" s="695" t="s">
        <v>951</v>
      </c>
      <c r="AB159" s="693" t="s">
        <v>538</v>
      </c>
      <c r="AC159" s="722">
        <v>0</v>
      </c>
      <c r="AD159" s="706">
        <v>1</v>
      </c>
      <c r="AE159" s="693" t="s">
        <v>17</v>
      </c>
      <c r="AF159" s="693" t="s">
        <v>301</v>
      </c>
      <c r="AG159" s="693" t="s">
        <v>204</v>
      </c>
      <c r="AH159" s="693" t="s">
        <v>638</v>
      </c>
      <c r="AI159" s="693" t="s">
        <v>1045</v>
      </c>
      <c r="AJ159" s="693" t="s">
        <v>1300</v>
      </c>
      <c r="AK159" s="693" t="s">
        <v>1620</v>
      </c>
      <c r="AL159" s="693" t="s">
        <v>204</v>
      </c>
      <c r="AM159" s="73">
        <v>1</v>
      </c>
      <c r="AN159" s="693" t="str">
        <f t="shared" si="296"/>
        <v>Disposición de instrumento en página web, con el fin de que la ciudadanía y partes interesadas realicen observaciones, recomendaciones y comentarios al Mapa de Riesgos Operativos, de Corrupción y de Seguridad Digital actualizado y al Plan de Acción</v>
      </c>
      <c r="AO159" s="703">
        <f t="shared" si="297"/>
        <v>0</v>
      </c>
      <c r="AP159" s="700" t="s">
        <v>48</v>
      </c>
      <c r="AQ159" s="66">
        <v>1</v>
      </c>
      <c r="AR159" s="693" t="str">
        <f t="shared" si="298"/>
        <v>Disposición de instrumento en página web, con el fin de que la ciudadanía y partes interesadas realicen observaciones, recomendaciones y comentarios al Mapa de Riesgos Operativos, de Corrupción y de Seguridad Digital actualizado y al Plan de Acción</v>
      </c>
      <c r="AS159" s="691">
        <f t="shared" si="299"/>
        <v>0</v>
      </c>
      <c r="AT159" s="716">
        <v>1</v>
      </c>
      <c r="AU159" s="708">
        <v>0</v>
      </c>
      <c r="AV159" s="690">
        <f t="shared" si="300"/>
        <v>1</v>
      </c>
      <c r="AW159" s="690" t="e">
        <f t="shared" si="301"/>
        <v>#DIV/0!</v>
      </c>
      <c r="AX159" s="690">
        <f t="shared" si="302"/>
        <v>1</v>
      </c>
      <c r="AY159" s="690" t="e">
        <f t="shared" si="303"/>
        <v>#DIV/0!</v>
      </c>
      <c r="AZ159" s="516" t="s">
        <v>1621</v>
      </c>
      <c r="BA159" s="73">
        <v>0</v>
      </c>
      <c r="BB159" s="693" t="str">
        <f t="shared" si="304"/>
        <v>Disposición de instrumento en página web, con el fin de que la ciudadanía y partes interesadas realicen observaciones, recomendaciones y comentarios al Mapa de Riesgos Operativos, de Corrupción y de Seguridad Digital actualizado y al Plan de Acción</v>
      </c>
      <c r="BC159" s="691">
        <f t="shared" si="305"/>
        <v>0</v>
      </c>
      <c r="BD159" s="716">
        <v>0</v>
      </c>
      <c r="BE159" s="691">
        <v>0</v>
      </c>
      <c r="BF159" s="690" t="e">
        <f t="shared" si="306"/>
        <v>#DIV/0!</v>
      </c>
      <c r="BG159" s="690" t="e">
        <f t="shared" si="307"/>
        <v>#DIV/0!</v>
      </c>
      <c r="BH159" s="690">
        <f t="shared" si="308"/>
        <v>1</v>
      </c>
      <c r="BI159" s="690" t="e">
        <f t="shared" si="309"/>
        <v>#DIV/0!</v>
      </c>
      <c r="BJ159" s="512" t="s">
        <v>1781</v>
      </c>
      <c r="BK159" s="73">
        <v>0</v>
      </c>
      <c r="BL159" s="693" t="str">
        <f t="shared" si="310"/>
        <v>Disposición de instrumento en página web, con el fin de que la ciudadanía y partes interesadas realicen observaciones, recomendaciones y comentarios al Mapa de Riesgos Operativos, de Corrupción y de Seguridad Digital actualizado y al Plan de Acción</v>
      </c>
      <c r="BM159" s="691">
        <f t="shared" si="311"/>
        <v>0</v>
      </c>
      <c r="BN159" s="695"/>
      <c r="BO159" s="695"/>
      <c r="BP159" s="690" t="e">
        <f t="shared" si="312"/>
        <v>#DIV/0!</v>
      </c>
      <c r="BQ159" s="690" t="e">
        <f t="shared" si="313"/>
        <v>#DIV/0!</v>
      </c>
      <c r="BR159" s="690">
        <f t="shared" si="314"/>
        <v>1</v>
      </c>
      <c r="BS159" s="690" t="e">
        <f t="shared" si="315"/>
        <v>#DIV/0!</v>
      </c>
      <c r="BT159" s="690"/>
      <c r="BU159" s="73">
        <v>0</v>
      </c>
      <c r="BV159" s="693" t="str">
        <f t="shared" si="316"/>
        <v>Disposición de instrumento en página web, con el fin de que la ciudadanía y partes interesadas realicen observaciones, recomendaciones y comentarios al Mapa de Riesgos Operativos, de Corrupción y de Seguridad Digital actualizado y al Plan de Acción</v>
      </c>
      <c r="BW159" s="691">
        <f t="shared" si="317"/>
        <v>0</v>
      </c>
      <c r="BX159" s="695"/>
      <c r="BY159" s="695"/>
      <c r="BZ159" s="698" t="e">
        <f t="shared" si="318"/>
        <v>#DIV/0!</v>
      </c>
      <c r="CA159" s="698" t="e">
        <f t="shared" si="319"/>
        <v>#DIV/0!</v>
      </c>
      <c r="CB159" s="698">
        <f t="shared" si="320"/>
        <v>1</v>
      </c>
      <c r="CC159" s="698" t="e">
        <f t="shared" si="321"/>
        <v>#DIV/0!</v>
      </c>
      <c r="CD159" s="698"/>
      <c r="CE159" s="697">
        <f t="shared" si="322"/>
        <v>1</v>
      </c>
      <c r="CF159" s="697" t="str">
        <f t="shared" si="323"/>
        <v>No Prog ni Ejec</v>
      </c>
      <c r="CG159" s="697" t="str">
        <f t="shared" si="324"/>
        <v>No Prog ni Ejec</v>
      </c>
      <c r="CH159" s="697" t="str">
        <f t="shared" si="325"/>
        <v>No Prog ni Ejec</v>
      </c>
      <c r="CI159" s="697" t="str">
        <f t="shared" si="326"/>
        <v>No Prog ni Ejec</v>
      </c>
      <c r="CJ159" s="697" t="str">
        <f t="shared" si="327"/>
        <v>No Prog ni Ejec</v>
      </c>
      <c r="CK159" s="697" t="str">
        <f t="shared" si="328"/>
        <v>No Prog ni Ejec</v>
      </c>
      <c r="CL159" s="786" t="str">
        <f t="shared" si="329"/>
        <v>No Prog ni Ejec</v>
      </c>
      <c r="CM159" s="136">
        <f t="shared" si="271"/>
        <v>0</v>
      </c>
      <c r="CR159" s="125">
        <v>1</v>
      </c>
      <c r="CS159" s="166"/>
      <c r="CT159" s="166"/>
      <c r="CU159" s="166"/>
      <c r="CV159" s="166"/>
      <c r="CW159" s="166"/>
      <c r="CX159" s="166"/>
      <c r="CY159" s="166"/>
      <c r="CZ159" s="166"/>
      <c r="DA159" s="166"/>
      <c r="DB159" s="166"/>
      <c r="DC159" s="166"/>
    </row>
    <row r="160" spans="1:107" s="81" customFormat="1" ht="265.5" hidden="1" customHeight="1" x14ac:dyDescent="0.2">
      <c r="A160" s="785">
        <v>12000</v>
      </c>
      <c r="B160" s="693" t="s">
        <v>15</v>
      </c>
      <c r="C160" s="693" t="s">
        <v>336</v>
      </c>
      <c r="D160" s="129" t="s">
        <v>1023</v>
      </c>
      <c r="E160" s="129"/>
      <c r="F160" s="129"/>
      <c r="G160" s="129"/>
      <c r="H160" s="129"/>
      <c r="I160" s="129"/>
      <c r="J160" s="129"/>
      <c r="K160" s="129"/>
      <c r="L160" s="129"/>
      <c r="M160" s="129"/>
      <c r="N160" s="129"/>
      <c r="O160" s="129"/>
      <c r="P160" s="129"/>
      <c r="Q160" s="693" t="s">
        <v>1136</v>
      </c>
      <c r="R160" s="693" t="s">
        <v>1747</v>
      </c>
      <c r="S160" s="695" t="s">
        <v>53</v>
      </c>
      <c r="T160" s="693" t="s">
        <v>94</v>
      </c>
      <c r="U160" s="693" t="s">
        <v>204</v>
      </c>
      <c r="V160" s="693" t="s">
        <v>204</v>
      </c>
      <c r="W160" s="695" t="s">
        <v>961</v>
      </c>
      <c r="X160" s="693" t="s">
        <v>545</v>
      </c>
      <c r="Y160" s="60" t="s">
        <v>391</v>
      </c>
      <c r="Z160" s="73">
        <v>1</v>
      </c>
      <c r="AA160" s="695" t="s">
        <v>952</v>
      </c>
      <c r="AB160" s="693" t="s">
        <v>543</v>
      </c>
      <c r="AC160" s="722">
        <v>0</v>
      </c>
      <c r="AD160" s="706">
        <v>1</v>
      </c>
      <c r="AE160" s="693" t="s">
        <v>18</v>
      </c>
      <c r="AF160" s="693" t="s">
        <v>24</v>
      </c>
      <c r="AG160" s="693" t="s">
        <v>204</v>
      </c>
      <c r="AH160" s="693" t="s">
        <v>638</v>
      </c>
      <c r="AI160" s="693" t="s">
        <v>29</v>
      </c>
      <c r="AJ160" s="693" t="s">
        <v>1300</v>
      </c>
      <c r="AK160" s="693" t="s">
        <v>544</v>
      </c>
      <c r="AL160" s="693" t="s">
        <v>296</v>
      </c>
      <c r="AM160" s="73">
        <v>1</v>
      </c>
      <c r="AN160" s="693" t="str">
        <f t="shared" si="296"/>
        <v>Organizar la publicación de la información sobre la gestión de la entidad para proporcionar información relevante a los grupos de interés</v>
      </c>
      <c r="AO160" s="703">
        <f t="shared" si="297"/>
        <v>0</v>
      </c>
      <c r="AP160" s="700" t="s">
        <v>48</v>
      </c>
      <c r="AQ160" s="66">
        <v>0</v>
      </c>
      <c r="AR160" s="693" t="str">
        <f t="shared" si="298"/>
        <v>Organizar la publicación de la información sobre la gestión de la entidad para proporcionar información relevante a los grupos de interés</v>
      </c>
      <c r="AS160" s="691">
        <f t="shared" si="299"/>
        <v>0</v>
      </c>
      <c r="AT160" s="716">
        <v>0</v>
      </c>
      <c r="AU160" s="708">
        <v>0</v>
      </c>
      <c r="AV160" s="690" t="e">
        <f t="shared" si="300"/>
        <v>#DIV/0!</v>
      </c>
      <c r="AW160" s="690" t="e">
        <f t="shared" si="301"/>
        <v>#DIV/0!</v>
      </c>
      <c r="AX160" s="690">
        <f t="shared" si="302"/>
        <v>0</v>
      </c>
      <c r="AY160" s="690" t="e">
        <f t="shared" si="303"/>
        <v>#DIV/0!</v>
      </c>
      <c r="AZ160" s="512" t="s">
        <v>1384</v>
      </c>
      <c r="BA160" s="73">
        <v>1</v>
      </c>
      <c r="BB160" s="693" t="str">
        <f t="shared" si="304"/>
        <v>Organizar la publicación de la información sobre la gestión de la entidad para proporcionar información relevante a los grupos de interés</v>
      </c>
      <c r="BC160" s="691">
        <f t="shared" si="305"/>
        <v>0</v>
      </c>
      <c r="BD160" s="716">
        <v>1</v>
      </c>
      <c r="BE160" s="691">
        <v>0</v>
      </c>
      <c r="BF160" s="690">
        <f t="shared" si="306"/>
        <v>1</v>
      </c>
      <c r="BG160" s="690" t="e">
        <f t="shared" si="307"/>
        <v>#DIV/0!</v>
      </c>
      <c r="BH160" s="690">
        <f t="shared" si="308"/>
        <v>1</v>
      </c>
      <c r="BI160" s="690" t="e">
        <f t="shared" si="309"/>
        <v>#DIV/0!</v>
      </c>
      <c r="BJ160" s="516" t="s">
        <v>1783</v>
      </c>
      <c r="BK160" s="73">
        <v>0</v>
      </c>
      <c r="BL160" s="693" t="str">
        <f t="shared" si="310"/>
        <v>Organizar la publicación de la información sobre la gestión de la entidad para proporcionar información relevante a los grupos de interés</v>
      </c>
      <c r="BM160" s="691">
        <f t="shared" si="311"/>
        <v>0</v>
      </c>
      <c r="BN160" s="695"/>
      <c r="BO160" s="695"/>
      <c r="BP160" s="690" t="e">
        <f t="shared" si="312"/>
        <v>#DIV/0!</v>
      </c>
      <c r="BQ160" s="690" t="e">
        <f t="shared" si="313"/>
        <v>#DIV/0!</v>
      </c>
      <c r="BR160" s="690">
        <f t="shared" si="314"/>
        <v>1</v>
      </c>
      <c r="BS160" s="690" t="e">
        <f t="shared" si="315"/>
        <v>#DIV/0!</v>
      </c>
      <c r="BT160" s="690"/>
      <c r="BU160" s="73">
        <v>0</v>
      </c>
      <c r="BV160" s="693" t="str">
        <f t="shared" si="316"/>
        <v>Organizar la publicación de la información sobre la gestión de la entidad para proporcionar información relevante a los grupos de interés</v>
      </c>
      <c r="BW160" s="691">
        <f t="shared" si="317"/>
        <v>0</v>
      </c>
      <c r="BX160" s="695"/>
      <c r="BY160" s="695"/>
      <c r="BZ160" s="698" t="e">
        <f t="shared" si="318"/>
        <v>#DIV/0!</v>
      </c>
      <c r="CA160" s="698" t="e">
        <f t="shared" si="319"/>
        <v>#DIV/0!</v>
      </c>
      <c r="CB160" s="698">
        <f t="shared" si="320"/>
        <v>1</v>
      </c>
      <c r="CC160" s="698" t="e">
        <f t="shared" si="321"/>
        <v>#DIV/0!</v>
      </c>
      <c r="CD160" s="698"/>
      <c r="CE160" s="697" t="str">
        <f t="shared" si="322"/>
        <v>No Prog ni Ejec</v>
      </c>
      <c r="CF160" s="697" t="str">
        <f t="shared" si="323"/>
        <v>No Prog ni Ejec</v>
      </c>
      <c r="CG160" s="697">
        <f t="shared" si="324"/>
        <v>1</v>
      </c>
      <c r="CH160" s="697" t="str">
        <f t="shared" si="325"/>
        <v>No Prog ni Ejec</v>
      </c>
      <c r="CI160" s="697" t="str">
        <f t="shared" si="326"/>
        <v>No Prog ni Ejec</v>
      </c>
      <c r="CJ160" s="697" t="str">
        <f t="shared" si="327"/>
        <v>No Prog ni Ejec</v>
      </c>
      <c r="CK160" s="697" t="str">
        <f t="shared" si="328"/>
        <v>No Prog ni Ejec</v>
      </c>
      <c r="CL160" s="786" t="str">
        <f t="shared" si="329"/>
        <v>No Prog ni Ejec</v>
      </c>
      <c r="CM160" s="136">
        <f t="shared" si="271"/>
        <v>0</v>
      </c>
      <c r="CR160" s="125">
        <v>1</v>
      </c>
      <c r="CS160" s="166"/>
      <c r="CT160" s="166"/>
      <c r="CU160" s="166"/>
      <c r="CV160" s="166"/>
      <c r="CW160" s="166"/>
      <c r="CX160" s="166"/>
      <c r="CY160" s="166"/>
      <c r="CZ160" s="166"/>
      <c r="DA160" s="166"/>
      <c r="DB160" s="166"/>
      <c r="DC160" s="166"/>
    </row>
    <row r="161" spans="1:107" s="81" customFormat="1" ht="109.5" hidden="1" customHeight="1" x14ac:dyDescent="0.2">
      <c r="A161" s="785">
        <v>12000</v>
      </c>
      <c r="B161" s="693" t="s">
        <v>15</v>
      </c>
      <c r="C161" s="693" t="s">
        <v>336</v>
      </c>
      <c r="D161" s="129" t="s">
        <v>1023</v>
      </c>
      <c r="E161" s="129"/>
      <c r="F161" s="129"/>
      <c r="G161" s="129"/>
      <c r="H161" s="129"/>
      <c r="I161" s="129"/>
      <c r="J161" s="129"/>
      <c r="K161" s="129"/>
      <c r="L161" s="129"/>
      <c r="M161" s="129"/>
      <c r="N161" s="129"/>
      <c r="O161" s="129"/>
      <c r="P161" s="129"/>
      <c r="Q161" s="693" t="s">
        <v>1136</v>
      </c>
      <c r="R161" s="693" t="s">
        <v>1747</v>
      </c>
      <c r="S161" s="695" t="s">
        <v>53</v>
      </c>
      <c r="T161" s="693" t="s">
        <v>94</v>
      </c>
      <c r="U161" s="693" t="s">
        <v>204</v>
      </c>
      <c r="V161" s="693" t="s">
        <v>204</v>
      </c>
      <c r="W161" s="695" t="s">
        <v>962</v>
      </c>
      <c r="X161" s="693" t="s">
        <v>547</v>
      </c>
      <c r="Y161" s="60" t="s">
        <v>391</v>
      </c>
      <c r="Z161" s="73">
        <v>1</v>
      </c>
      <c r="AA161" s="695" t="s">
        <v>953</v>
      </c>
      <c r="AB161" s="693" t="s">
        <v>546</v>
      </c>
      <c r="AC161" s="722">
        <v>0</v>
      </c>
      <c r="AD161" s="706">
        <v>1</v>
      </c>
      <c r="AE161" s="693" t="s">
        <v>18</v>
      </c>
      <c r="AF161" s="693" t="s">
        <v>24</v>
      </c>
      <c r="AG161" s="693" t="s">
        <v>204</v>
      </c>
      <c r="AH161" s="693" t="s">
        <v>638</v>
      </c>
      <c r="AI161" s="693" t="s">
        <v>1051</v>
      </c>
      <c r="AJ161" s="693" t="s">
        <v>1300</v>
      </c>
      <c r="AK161" s="693" t="s">
        <v>548</v>
      </c>
      <c r="AL161" s="693" t="s">
        <v>40</v>
      </c>
      <c r="AM161" s="73">
        <v>1</v>
      </c>
      <c r="AN161" s="693" t="str">
        <f t="shared" si="296"/>
        <v>Elaborar y publicar el informe de gestión de la entidad vigencia 2018</v>
      </c>
      <c r="AO161" s="703">
        <f t="shared" si="297"/>
        <v>0</v>
      </c>
      <c r="AP161" s="700" t="s">
        <v>48</v>
      </c>
      <c r="AQ161" s="66">
        <v>1</v>
      </c>
      <c r="AR161" s="693" t="str">
        <f t="shared" si="298"/>
        <v>Elaborar y publicar el informe de gestión de la entidad vigencia 2018</v>
      </c>
      <c r="AS161" s="691">
        <f t="shared" si="299"/>
        <v>0</v>
      </c>
      <c r="AT161" s="716">
        <v>1</v>
      </c>
      <c r="AU161" s="708">
        <v>0</v>
      </c>
      <c r="AV161" s="690">
        <f t="shared" si="300"/>
        <v>1</v>
      </c>
      <c r="AW161" s="690" t="e">
        <f t="shared" si="301"/>
        <v>#DIV/0!</v>
      </c>
      <c r="AX161" s="690">
        <f t="shared" si="302"/>
        <v>1</v>
      </c>
      <c r="AY161" s="690" t="e">
        <f t="shared" si="303"/>
        <v>#DIV/0!</v>
      </c>
      <c r="AZ161" s="516" t="s">
        <v>1622</v>
      </c>
      <c r="BA161" s="73">
        <v>0</v>
      </c>
      <c r="BB161" s="693" t="str">
        <f t="shared" si="304"/>
        <v>Elaborar y publicar el informe de gestión de la entidad vigencia 2018</v>
      </c>
      <c r="BC161" s="691">
        <f t="shared" si="305"/>
        <v>0</v>
      </c>
      <c r="BD161" s="716">
        <v>0</v>
      </c>
      <c r="BE161" s="691">
        <v>0</v>
      </c>
      <c r="BF161" s="690" t="e">
        <f t="shared" si="306"/>
        <v>#DIV/0!</v>
      </c>
      <c r="BG161" s="690" t="e">
        <f t="shared" si="307"/>
        <v>#DIV/0!</v>
      </c>
      <c r="BH161" s="690">
        <f t="shared" si="308"/>
        <v>1</v>
      </c>
      <c r="BI161" s="690" t="e">
        <f t="shared" si="309"/>
        <v>#DIV/0!</v>
      </c>
      <c r="BJ161" s="512"/>
      <c r="BK161" s="73">
        <v>0</v>
      </c>
      <c r="BL161" s="693" t="str">
        <f t="shared" si="310"/>
        <v>Elaborar y publicar el informe de gestión de la entidad vigencia 2018</v>
      </c>
      <c r="BM161" s="691">
        <f t="shared" si="311"/>
        <v>0</v>
      </c>
      <c r="BN161" s="695"/>
      <c r="BO161" s="695"/>
      <c r="BP161" s="690" t="e">
        <f t="shared" si="312"/>
        <v>#DIV/0!</v>
      </c>
      <c r="BQ161" s="690" t="e">
        <f t="shared" si="313"/>
        <v>#DIV/0!</v>
      </c>
      <c r="BR161" s="690">
        <f t="shared" si="314"/>
        <v>1</v>
      </c>
      <c r="BS161" s="690" t="e">
        <f t="shared" si="315"/>
        <v>#DIV/0!</v>
      </c>
      <c r="BT161" s="690"/>
      <c r="BU161" s="73">
        <v>0</v>
      </c>
      <c r="BV161" s="693" t="str">
        <f t="shared" si="316"/>
        <v>Elaborar y publicar el informe de gestión de la entidad vigencia 2018</v>
      </c>
      <c r="BW161" s="691">
        <f t="shared" si="317"/>
        <v>0</v>
      </c>
      <c r="BX161" s="695"/>
      <c r="BY161" s="695"/>
      <c r="BZ161" s="698" t="e">
        <f t="shared" si="318"/>
        <v>#DIV/0!</v>
      </c>
      <c r="CA161" s="698" t="e">
        <f t="shared" si="319"/>
        <v>#DIV/0!</v>
      </c>
      <c r="CB161" s="698">
        <f t="shared" si="320"/>
        <v>1</v>
      </c>
      <c r="CC161" s="698" t="e">
        <f t="shared" si="321"/>
        <v>#DIV/0!</v>
      </c>
      <c r="CD161" s="698"/>
      <c r="CE161" s="697">
        <f t="shared" si="322"/>
        <v>1</v>
      </c>
      <c r="CF161" s="697" t="str">
        <f t="shared" si="323"/>
        <v>No Prog ni Ejec</v>
      </c>
      <c r="CG161" s="697" t="str">
        <f t="shared" si="324"/>
        <v>No Prog ni Ejec</v>
      </c>
      <c r="CH161" s="697" t="str">
        <f t="shared" si="325"/>
        <v>No Prog ni Ejec</v>
      </c>
      <c r="CI161" s="697" t="str">
        <f t="shared" si="326"/>
        <v>No Prog ni Ejec</v>
      </c>
      <c r="CJ161" s="697" t="str">
        <f t="shared" si="327"/>
        <v>No Prog ni Ejec</v>
      </c>
      <c r="CK161" s="697" t="str">
        <f t="shared" si="328"/>
        <v>No Prog ni Ejec</v>
      </c>
      <c r="CL161" s="786" t="str">
        <f t="shared" si="329"/>
        <v>No Prog ni Ejec</v>
      </c>
      <c r="CM161" s="136">
        <f t="shared" si="271"/>
        <v>0</v>
      </c>
      <c r="CR161" s="125">
        <v>1</v>
      </c>
      <c r="CS161" s="166"/>
      <c r="CT161" s="166"/>
      <c r="CU161" s="166"/>
      <c r="CV161" s="166"/>
      <c r="CW161" s="166"/>
      <c r="CX161" s="166"/>
      <c r="CY161" s="166"/>
      <c r="CZ161" s="166"/>
      <c r="DA161" s="166"/>
      <c r="DB161" s="166"/>
      <c r="DC161" s="166"/>
    </row>
    <row r="162" spans="1:107" s="81" customFormat="1" ht="118.5" hidden="1" customHeight="1" x14ac:dyDescent="0.2">
      <c r="A162" s="785">
        <v>12000</v>
      </c>
      <c r="B162" s="693" t="s">
        <v>15</v>
      </c>
      <c r="C162" s="693" t="s">
        <v>336</v>
      </c>
      <c r="D162" s="129" t="s">
        <v>1023</v>
      </c>
      <c r="E162" s="129"/>
      <c r="F162" s="129"/>
      <c r="G162" s="129"/>
      <c r="H162" s="129"/>
      <c r="I162" s="129"/>
      <c r="J162" s="129"/>
      <c r="K162" s="129"/>
      <c r="L162" s="129"/>
      <c r="M162" s="129"/>
      <c r="N162" s="129"/>
      <c r="O162" s="129"/>
      <c r="P162" s="129"/>
      <c r="Q162" s="693" t="s">
        <v>1136</v>
      </c>
      <c r="R162" s="693" t="s">
        <v>1148</v>
      </c>
      <c r="S162" s="695" t="s">
        <v>53</v>
      </c>
      <c r="T162" s="693" t="s">
        <v>94</v>
      </c>
      <c r="U162" s="693" t="s">
        <v>204</v>
      </c>
      <c r="V162" s="693" t="s">
        <v>204</v>
      </c>
      <c r="W162" s="695" t="s">
        <v>963</v>
      </c>
      <c r="X162" s="693" t="s">
        <v>550</v>
      </c>
      <c r="Y162" s="60" t="s">
        <v>391</v>
      </c>
      <c r="Z162" s="73">
        <v>1</v>
      </c>
      <c r="AA162" s="695" t="s">
        <v>954</v>
      </c>
      <c r="AB162" s="693" t="s">
        <v>549</v>
      </c>
      <c r="AC162" s="722">
        <v>0</v>
      </c>
      <c r="AD162" s="706">
        <v>1</v>
      </c>
      <c r="AE162" s="693" t="s">
        <v>287</v>
      </c>
      <c r="AF162" s="693" t="s">
        <v>304</v>
      </c>
      <c r="AG162" s="693" t="s">
        <v>204</v>
      </c>
      <c r="AH162" s="693" t="s">
        <v>638</v>
      </c>
      <c r="AI162" s="693" t="s">
        <v>1055</v>
      </c>
      <c r="AJ162" s="693" t="s">
        <v>1278</v>
      </c>
      <c r="AK162" s="693" t="s">
        <v>551</v>
      </c>
      <c r="AL162" s="693" t="s">
        <v>40</v>
      </c>
      <c r="AM162" s="73">
        <v>1</v>
      </c>
      <c r="AN162" s="693" t="str">
        <f t="shared" si="296"/>
        <v>Autoevaluar el cumplimiento de la estrategia de rendición de cuentas implementada por la entidad.</v>
      </c>
      <c r="AO162" s="703">
        <f t="shared" si="297"/>
        <v>0</v>
      </c>
      <c r="AP162" s="700" t="s">
        <v>48</v>
      </c>
      <c r="AQ162" s="66">
        <v>1</v>
      </c>
      <c r="AR162" s="693" t="str">
        <f t="shared" si="298"/>
        <v>Autoevaluar el cumplimiento de la estrategia de rendición de cuentas implementada por la entidad.</v>
      </c>
      <c r="AS162" s="691">
        <f t="shared" si="299"/>
        <v>0</v>
      </c>
      <c r="AT162" s="716">
        <v>1</v>
      </c>
      <c r="AU162" s="708">
        <v>0</v>
      </c>
      <c r="AV162" s="690">
        <f t="shared" si="300"/>
        <v>1</v>
      </c>
      <c r="AW162" s="690" t="e">
        <f t="shared" si="301"/>
        <v>#DIV/0!</v>
      </c>
      <c r="AX162" s="690">
        <f t="shared" si="302"/>
        <v>1</v>
      </c>
      <c r="AY162" s="690" t="e">
        <f t="shared" si="303"/>
        <v>#DIV/0!</v>
      </c>
      <c r="AZ162" s="512"/>
      <c r="BA162" s="73">
        <v>0</v>
      </c>
      <c r="BB162" s="693" t="str">
        <f t="shared" si="304"/>
        <v>Autoevaluar el cumplimiento de la estrategia de rendición de cuentas implementada por la entidad.</v>
      </c>
      <c r="BC162" s="691">
        <f t="shared" si="305"/>
        <v>0</v>
      </c>
      <c r="BD162" s="716">
        <v>0</v>
      </c>
      <c r="BE162" s="691">
        <v>0</v>
      </c>
      <c r="BF162" s="690" t="e">
        <f t="shared" si="306"/>
        <v>#DIV/0!</v>
      </c>
      <c r="BG162" s="690" t="e">
        <f t="shared" si="307"/>
        <v>#DIV/0!</v>
      </c>
      <c r="BH162" s="690">
        <f t="shared" si="308"/>
        <v>1</v>
      </c>
      <c r="BI162" s="690" t="e">
        <f t="shared" si="309"/>
        <v>#DIV/0!</v>
      </c>
      <c r="BJ162" s="512"/>
      <c r="BK162" s="73">
        <v>0</v>
      </c>
      <c r="BL162" s="693" t="str">
        <f t="shared" si="310"/>
        <v>Autoevaluar el cumplimiento de la estrategia de rendición de cuentas implementada por la entidad.</v>
      </c>
      <c r="BM162" s="691">
        <f t="shared" si="311"/>
        <v>0</v>
      </c>
      <c r="BN162" s="695"/>
      <c r="BO162" s="695"/>
      <c r="BP162" s="690" t="e">
        <f t="shared" si="312"/>
        <v>#DIV/0!</v>
      </c>
      <c r="BQ162" s="690" t="e">
        <f t="shared" si="313"/>
        <v>#DIV/0!</v>
      </c>
      <c r="BR162" s="690">
        <f t="shared" si="314"/>
        <v>1</v>
      </c>
      <c r="BS162" s="690" t="e">
        <f t="shared" si="315"/>
        <v>#DIV/0!</v>
      </c>
      <c r="BT162" s="690"/>
      <c r="BU162" s="73">
        <v>0</v>
      </c>
      <c r="BV162" s="693" t="str">
        <f t="shared" si="316"/>
        <v>Autoevaluar el cumplimiento de la estrategia de rendición de cuentas implementada por la entidad.</v>
      </c>
      <c r="BW162" s="691">
        <f t="shared" si="317"/>
        <v>0</v>
      </c>
      <c r="BX162" s="695"/>
      <c r="BY162" s="695"/>
      <c r="BZ162" s="698" t="e">
        <f t="shared" si="318"/>
        <v>#DIV/0!</v>
      </c>
      <c r="CA162" s="698" t="e">
        <f t="shared" si="319"/>
        <v>#DIV/0!</v>
      </c>
      <c r="CB162" s="698">
        <f t="shared" si="320"/>
        <v>1</v>
      </c>
      <c r="CC162" s="698" t="e">
        <f t="shared" si="321"/>
        <v>#DIV/0!</v>
      </c>
      <c r="CD162" s="698"/>
      <c r="CE162" s="697">
        <f t="shared" si="322"/>
        <v>1</v>
      </c>
      <c r="CF162" s="697" t="str">
        <f t="shared" si="323"/>
        <v>No Prog ni Ejec</v>
      </c>
      <c r="CG162" s="697" t="str">
        <f t="shared" si="324"/>
        <v>No Prog ni Ejec</v>
      </c>
      <c r="CH162" s="697" t="str">
        <f t="shared" si="325"/>
        <v>No Prog ni Ejec</v>
      </c>
      <c r="CI162" s="697" t="str">
        <f t="shared" si="326"/>
        <v>No Prog ni Ejec</v>
      </c>
      <c r="CJ162" s="697" t="str">
        <f t="shared" si="327"/>
        <v>No Prog ni Ejec</v>
      </c>
      <c r="CK162" s="697" t="str">
        <f t="shared" si="328"/>
        <v>No Prog ni Ejec</v>
      </c>
      <c r="CL162" s="786" t="str">
        <f t="shared" si="329"/>
        <v>No Prog ni Ejec</v>
      </c>
      <c r="CM162" s="136">
        <f t="shared" si="271"/>
        <v>0</v>
      </c>
      <c r="CR162" s="125">
        <v>1</v>
      </c>
      <c r="CS162" s="166"/>
      <c r="CT162" s="166"/>
      <c r="CU162" s="166"/>
      <c r="CV162" s="166"/>
      <c r="CW162" s="166"/>
      <c r="CX162" s="166"/>
      <c r="CY162" s="166"/>
      <c r="CZ162" s="166"/>
      <c r="DA162" s="166"/>
      <c r="DB162" s="166"/>
      <c r="DC162" s="166"/>
    </row>
    <row r="163" spans="1:107" s="81" customFormat="1" ht="102" hidden="1" x14ac:dyDescent="0.2">
      <c r="A163" s="785">
        <v>12000</v>
      </c>
      <c r="B163" s="693" t="s">
        <v>15</v>
      </c>
      <c r="C163" s="693" t="s">
        <v>336</v>
      </c>
      <c r="D163" s="129" t="s">
        <v>1023</v>
      </c>
      <c r="E163" s="129"/>
      <c r="F163" s="129"/>
      <c r="G163" s="129"/>
      <c r="H163" s="129"/>
      <c r="I163" s="129"/>
      <c r="J163" s="129"/>
      <c r="K163" s="129"/>
      <c r="L163" s="129"/>
      <c r="M163" s="129"/>
      <c r="N163" s="129"/>
      <c r="O163" s="129"/>
      <c r="P163" s="129"/>
      <c r="Q163" s="693" t="s">
        <v>1623</v>
      </c>
      <c r="R163" s="693" t="s">
        <v>1144</v>
      </c>
      <c r="S163" s="695" t="s">
        <v>53</v>
      </c>
      <c r="T163" s="693" t="s">
        <v>94</v>
      </c>
      <c r="U163" s="693" t="s">
        <v>204</v>
      </c>
      <c r="V163" s="693" t="s">
        <v>204</v>
      </c>
      <c r="W163" s="695" t="s">
        <v>964</v>
      </c>
      <c r="X163" s="693" t="s">
        <v>553</v>
      </c>
      <c r="Y163" s="60" t="s">
        <v>51</v>
      </c>
      <c r="Z163" s="726">
        <v>1</v>
      </c>
      <c r="AA163" s="695" t="s">
        <v>955</v>
      </c>
      <c r="AB163" s="693" t="s">
        <v>552</v>
      </c>
      <c r="AC163" s="722">
        <v>0</v>
      </c>
      <c r="AD163" s="706">
        <v>1</v>
      </c>
      <c r="AE163" s="693" t="s">
        <v>18</v>
      </c>
      <c r="AF163" s="693" t="s">
        <v>24</v>
      </c>
      <c r="AG163" s="693" t="s">
        <v>204</v>
      </c>
      <c r="AH163" s="693" t="s">
        <v>638</v>
      </c>
      <c r="AI163" s="693" t="s">
        <v>1051</v>
      </c>
      <c r="AJ163" s="693" t="s">
        <v>1300</v>
      </c>
      <c r="AK163" s="693" t="s">
        <v>554</v>
      </c>
      <c r="AL163" s="693" t="s">
        <v>296</v>
      </c>
      <c r="AM163" s="726">
        <v>1</v>
      </c>
      <c r="AN163" s="693" t="str">
        <f t="shared" si="296"/>
        <v xml:space="preserve">Articular la publicación de información mínima requerida por la Ley 1712 de 2014 en página web </v>
      </c>
      <c r="AO163" s="703">
        <f t="shared" si="297"/>
        <v>0</v>
      </c>
      <c r="AP163" s="700" t="s">
        <v>48</v>
      </c>
      <c r="AQ163" s="726">
        <v>0.25</v>
      </c>
      <c r="AR163" s="693" t="str">
        <f t="shared" si="298"/>
        <v xml:space="preserve">Articular la publicación de información mínima requerida por la Ley 1712 de 2014 en página web </v>
      </c>
      <c r="AS163" s="691">
        <f t="shared" si="299"/>
        <v>0</v>
      </c>
      <c r="AT163" s="515">
        <f>(13/13)*25%</f>
        <v>0.25</v>
      </c>
      <c r="AU163" s="708">
        <v>0</v>
      </c>
      <c r="AV163" s="690">
        <f t="shared" si="300"/>
        <v>1</v>
      </c>
      <c r="AW163" s="690" t="e">
        <f t="shared" si="301"/>
        <v>#DIV/0!</v>
      </c>
      <c r="AX163" s="690">
        <f t="shared" si="302"/>
        <v>0.25</v>
      </c>
      <c r="AY163" s="690" t="e">
        <f t="shared" si="303"/>
        <v>#DIV/0!</v>
      </c>
      <c r="AZ163" s="516" t="s">
        <v>1385</v>
      </c>
      <c r="BA163" s="726">
        <v>0.25</v>
      </c>
      <c r="BB163" s="693" t="str">
        <f t="shared" si="304"/>
        <v xml:space="preserve">Articular la publicación de información mínima requerida por la Ley 1712 de 2014 en página web </v>
      </c>
      <c r="BC163" s="691">
        <f t="shared" si="305"/>
        <v>0</v>
      </c>
      <c r="BD163" s="515">
        <f>(6/6)*25%</f>
        <v>0.25</v>
      </c>
      <c r="BE163" s="691">
        <v>0</v>
      </c>
      <c r="BF163" s="690">
        <f t="shared" si="306"/>
        <v>1</v>
      </c>
      <c r="BG163" s="690" t="e">
        <f t="shared" si="307"/>
        <v>#DIV/0!</v>
      </c>
      <c r="BH163" s="690">
        <f t="shared" si="308"/>
        <v>0.5</v>
      </c>
      <c r="BI163" s="690" t="e">
        <f t="shared" si="309"/>
        <v>#DIV/0!</v>
      </c>
      <c r="BJ163" s="512" t="s">
        <v>1707</v>
      </c>
      <c r="BK163" s="726">
        <v>0.25</v>
      </c>
      <c r="BL163" s="693" t="str">
        <f t="shared" si="310"/>
        <v xml:space="preserve">Articular la publicación de información mínima requerida por la Ley 1712 de 2014 en página web </v>
      </c>
      <c r="BM163" s="691">
        <f t="shared" si="311"/>
        <v>0</v>
      </c>
      <c r="BN163" s="695"/>
      <c r="BO163" s="695"/>
      <c r="BP163" s="690">
        <f t="shared" si="312"/>
        <v>0</v>
      </c>
      <c r="BQ163" s="690" t="e">
        <f t="shared" si="313"/>
        <v>#DIV/0!</v>
      </c>
      <c r="BR163" s="690">
        <f t="shared" si="314"/>
        <v>0.5</v>
      </c>
      <c r="BS163" s="690" t="e">
        <f t="shared" si="315"/>
        <v>#DIV/0!</v>
      </c>
      <c r="BT163" s="690"/>
      <c r="BU163" s="726">
        <v>0.25</v>
      </c>
      <c r="BV163" s="693" t="str">
        <f t="shared" si="316"/>
        <v xml:space="preserve">Articular la publicación de información mínima requerida por la Ley 1712 de 2014 en página web </v>
      </c>
      <c r="BW163" s="691">
        <f t="shared" si="317"/>
        <v>0</v>
      </c>
      <c r="BX163" s="695"/>
      <c r="BY163" s="695"/>
      <c r="BZ163" s="698">
        <f t="shared" si="318"/>
        <v>0</v>
      </c>
      <c r="CA163" s="698" t="e">
        <f t="shared" si="319"/>
        <v>#DIV/0!</v>
      </c>
      <c r="CB163" s="698">
        <f t="shared" si="320"/>
        <v>0.5</v>
      </c>
      <c r="CC163" s="698" t="e">
        <f t="shared" si="321"/>
        <v>#DIV/0!</v>
      </c>
      <c r="CD163" s="698"/>
      <c r="CE163" s="697">
        <f t="shared" si="322"/>
        <v>1</v>
      </c>
      <c r="CF163" s="697" t="str">
        <f t="shared" si="323"/>
        <v>No Prog ni Ejec</v>
      </c>
      <c r="CG163" s="697">
        <f t="shared" si="324"/>
        <v>1</v>
      </c>
      <c r="CH163" s="697" t="str">
        <f t="shared" si="325"/>
        <v>No Prog ni Ejec</v>
      </c>
      <c r="CI163" s="697">
        <f t="shared" si="326"/>
        <v>0</v>
      </c>
      <c r="CJ163" s="697" t="str">
        <f t="shared" si="327"/>
        <v>No Prog ni Ejec</v>
      </c>
      <c r="CK163" s="697">
        <f t="shared" si="328"/>
        <v>0</v>
      </c>
      <c r="CL163" s="786" t="str">
        <f t="shared" si="329"/>
        <v>No Prog ni Ejec</v>
      </c>
      <c r="CM163" s="136">
        <f t="shared" si="271"/>
        <v>0</v>
      </c>
      <c r="CR163" s="125">
        <v>1</v>
      </c>
      <c r="CS163" s="166"/>
      <c r="CT163" s="166"/>
      <c r="CU163" s="166"/>
      <c r="CV163" s="166"/>
      <c r="CW163" s="166"/>
      <c r="CX163" s="166"/>
      <c r="CY163" s="166"/>
      <c r="CZ163" s="166"/>
      <c r="DA163" s="166"/>
      <c r="DB163" s="166"/>
      <c r="DC163" s="166"/>
    </row>
    <row r="164" spans="1:107" s="81" customFormat="1" ht="89.25" hidden="1" x14ac:dyDescent="0.2">
      <c r="A164" s="785">
        <v>11800</v>
      </c>
      <c r="B164" s="693" t="s">
        <v>3</v>
      </c>
      <c r="C164" s="693" t="s">
        <v>336</v>
      </c>
      <c r="D164" s="129" t="s">
        <v>1023</v>
      </c>
      <c r="E164" s="129"/>
      <c r="F164" s="129"/>
      <c r="G164" s="129"/>
      <c r="H164" s="129"/>
      <c r="I164" s="129"/>
      <c r="J164" s="129"/>
      <c r="K164" s="129"/>
      <c r="L164" s="129"/>
      <c r="M164" s="129"/>
      <c r="N164" s="129"/>
      <c r="O164" s="129"/>
      <c r="P164" s="129"/>
      <c r="Q164" s="693" t="s">
        <v>1134</v>
      </c>
      <c r="R164" s="693" t="s">
        <v>1145</v>
      </c>
      <c r="S164" s="695" t="s">
        <v>116</v>
      </c>
      <c r="T164" s="693" t="s">
        <v>94</v>
      </c>
      <c r="U164" s="693" t="s">
        <v>204</v>
      </c>
      <c r="V164" s="693" t="s">
        <v>204</v>
      </c>
      <c r="W164" s="695" t="s">
        <v>1126</v>
      </c>
      <c r="X164" s="693" t="s">
        <v>540</v>
      </c>
      <c r="Y164" s="716" t="s">
        <v>408</v>
      </c>
      <c r="Z164" s="73">
        <v>3</v>
      </c>
      <c r="AA164" s="695" t="s">
        <v>1125</v>
      </c>
      <c r="AB164" s="693" t="s">
        <v>541</v>
      </c>
      <c r="AC164" s="722">
        <v>0</v>
      </c>
      <c r="AD164" s="706">
        <v>1</v>
      </c>
      <c r="AE164" s="693" t="s">
        <v>19</v>
      </c>
      <c r="AF164" s="693" t="s">
        <v>25</v>
      </c>
      <c r="AG164" s="693" t="s">
        <v>204</v>
      </c>
      <c r="AH164" s="693" t="s">
        <v>638</v>
      </c>
      <c r="AI164" s="693" t="s">
        <v>1050</v>
      </c>
      <c r="AJ164" s="693" t="s">
        <v>1295</v>
      </c>
      <c r="AK164" s="693" t="s">
        <v>542</v>
      </c>
      <c r="AL164" s="693" t="s">
        <v>204</v>
      </c>
      <c r="AM164" s="73">
        <v>3</v>
      </c>
      <c r="AN164" s="693" t="str">
        <f t="shared" si="296"/>
        <v>Realizar seguimiento al Mapa de Riesgos Operativos, de Corrupción y de Seguridad Digital y a la efectividad de los controles</v>
      </c>
      <c r="AO164" s="703">
        <f t="shared" si="297"/>
        <v>0</v>
      </c>
      <c r="AP164" s="700" t="s">
        <v>48</v>
      </c>
      <c r="AQ164" s="73">
        <v>1</v>
      </c>
      <c r="AR164" s="693" t="str">
        <f t="shared" si="298"/>
        <v>Realizar seguimiento al Mapa de Riesgos Operativos, de Corrupción y de Seguridad Digital y a la efectividad de los controles</v>
      </c>
      <c r="AS164" s="691">
        <v>0</v>
      </c>
      <c r="AT164" s="695">
        <v>1</v>
      </c>
      <c r="AU164" s="695">
        <v>0</v>
      </c>
      <c r="AV164" s="690">
        <f t="shared" si="300"/>
        <v>1</v>
      </c>
      <c r="AW164" s="690" t="e">
        <f t="shared" si="301"/>
        <v>#DIV/0!</v>
      </c>
      <c r="AX164" s="690">
        <f t="shared" si="302"/>
        <v>0.33333333333333331</v>
      </c>
      <c r="AY164" s="690" t="e">
        <f t="shared" si="303"/>
        <v>#DIV/0!</v>
      </c>
      <c r="AZ164" s="512"/>
      <c r="BA164" s="73">
        <v>1</v>
      </c>
      <c r="BB164" s="693" t="str">
        <f t="shared" si="304"/>
        <v>Realizar seguimiento al Mapa de Riesgos Operativos, de Corrupción y de Seguridad Digital y a la efectividad de los controles</v>
      </c>
      <c r="BC164" s="691">
        <v>0</v>
      </c>
      <c r="BD164" s="716">
        <v>1</v>
      </c>
      <c r="BE164" s="691">
        <v>0</v>
      </c>
      <c r="BF164" s="690">
        <f t="shared" si="306"/>
        <v>1</v>
      </c>
      <c r="BG164" s="690" t="e">
        <f t="shared" si="307"/>
        <v>#DIV/0!</v>
      </c>
      <c r="BH164" s="690">
        <f t="shared" si="308"/>
        <v>0.66666666666666663</v>
      </c>
      <c r="BI164" s="690" t="e">
        <f t="shared" si="309"/>
        <v>#DIV/0!</v>
      </c>
      <c r="BJ164" s="516" t="s">
        <v>1724</v>
      </c>
      <c r="BK164" s="73">
        <v>1</v>
      </c>
      <c r="BL164" s="693" t="str">
        <f t="shared" si="310"/>
        <v>Realizar seguimiento al Mapa de Riesgos Operativos, de Corrupción y de Seguridad Digital y a la efectividad de los controles</v>
      </c>
      <c r="BM164" s="691">
        <v>0</v>
      </c>
      <c r="BN164" s="695"/>
      <c r="BO164" s="695"/>
      <c r="BP164" s="690">
        <f t="shared" si="312"/>
        <v>0</v>
      </c>
      <c r="BQ164" s="690" t="e">
        <f t="shared" si="313"/>
        <v>#DIV/0!</v>
      </c>
      <c r="BR164" s="690">
        <f t="shared" si="314"/>
        <v>0.66666666666666663</v>
      </c>
      <c r="BS164" s="690" t="e">
        <f t="shared" si="315"/>
        <v>#DIV/0!</v>
      </c>
      <c r="BT164" s="690"/>
      <c r="BU164" s="66">
        <v>0</v>
      </c>
      <c r="BV164" s="693" t="str">
        <f t="shared" si="316"/>
        <v>Realizar seguimiento al Mapa de Riesgos Operativos, de Corrupción y de Seguridad Digital y a la efectividad de los controles</v>
      </c>
      <c r="BW164" s="691">
        <v>0</v>
      </c>
      <c r="BX164" s="695"/>
      <c r="BY164" s="695"/>
      <c r="BZ164" s="698" t="e">
        <f t="shared" si="318"/>
        <v>#DIV/0!</v>
      </c>
      <c r="CA164" s="698" t="e">
        <f t="shared" si="319"/>
        <v>#DIV/0!</v>
      </c>
      <c r="CB164" s="698">
        <f t="shared" si="320"/>
        <v>0.66666666666666663</v>
      </c>
      <c r="CC164" s="698" t="e">
        <f t="shared" si="321"/>
        <v>#DIV/0!</v>
      </c>
      <c r="CD164" s="698"/>
      <c r="CE164" s="697">
        <f t="shared" si="322"/>
        <v>1</v>
      </c>
      <c r="CF164" s="697" t="str">
        <f t="shared" si="323"/>
        <v>No Prog ni Ejec</v>
      </c>
      <c r="CG164" s="697">
        <f t="shared" si="324"/>
        <v>1</v>
      </c>
      <c r="CH164" s="697" t="str">
        <f t="shared" si="325"/>
        <v>No Prog ni Ejec</v>
      </c>
      <c r="CI164" s="697">
        <f t="shared" si="326"/>
        <v>0</v>
      </c>
      <c r="CJ164" s="697" t="str">
        <f t="shared" si="327"/>
        <v>No Prog ni Ejec</v>
      </c>
      <c r="CK164" s="697" t="str">
        <f t="shared" si="328"/>
        <v>No Prog ni Ejec</v>
      </c>
      <c r="CL164" s="786" t="str">
        <f t="shared" si="329"/>
        <v>No Prog ni Ejec</v>
      </c>
      <c r="CM164" s="136">
        <f t="shared" si="271"/>
        <v>0</v>
      </c>
      <c r="CR164" s="125">
        <v>1</v>
      </c>
      <c r="CS164" s="166"/>
      <c r="CT164" s="166"/>
      <c r="CU164" s="166"/>
      <c r="CV164" s="166"/>
      <c r="CW164" s="166"/>
      <c r="CX164" s="166"/>
      <c r="CY164" s="166"/>
      <c r="CZ164" s="166"/>
      <c r="DA164" s="166"/>
      <c r="DB164" s="166"/>
      <c r="DC164" s="166"/>
    </row>
    <row r="165" spans="1:107" s="626" customFormat="1" ht="105" hidden="1" customHeight="1" x14ac:dyDescent="0.2">
      <c r="A165" s="828">
        <v>11500</v>
      </c>
      <c r="B165" s="689" t="s">
        <v>13</v>
      </c>
      <c r="C165" s="689" t="s">
        <v>336</v>
      </c>
      <c r="D165" s="129" t="s">
        <v>1023</v>
      </c>
      <c r="E165" s="129"/>
      <c r="F165" s="129"/>
      <c r="G165" s="129"/>
      <c r="H165" s="129"/>
      <c r="I165" s="129"/>
      <c r="J165" s="129"/>
      <c r="K165" s="129"/>
      <c r="L165" s="129"/>
      <c r="M165" s="129"/>
      <c r="N165" s="129"/>
      <c r="O165" s="129"/>
      <c r="P165" s="129"/>
      <c r="Q165" s="693" t="s">
        <v>1135</v>
      </c>
      <c r="R165" s="693" t="s">
        <v>1746</v>
      </c>
      <c r="S165" s="695" t="s">
        <v>96</v>
      </c>
      <c r="T165" s="693" t="s">
        <v>94</v>
      </c>
      <c r="U165" s="693" t="s">
        <v>204</v>
      </c>
      <c r="V165" s="693" t="s">
        <v>204</v>
      </c>
      <c r="W165" s="694" t="s">
        <v>107</v>
      </c>
      <c r="X165" s="605" t="s">
        <v>1072</v>
      </c>
      <c r="Y165" s="608" t="s">
        <v>408</v>
      </c>
      <c r="Z165" s="620">
        <v>1</v>
      </c>
      <c r="AA165" s="694" t="s">
        <v>97</v>
      </c>
      <c r="AB165" s="689" t="s">
        <v>1071</v>
      </c>
      <c r="AC165" s="621">
        <v>0</v>
      </c>
      <c r="AD165" s="706">
        <v>1</v>
      </c>
      <c r="AE165" s="693" t="s">
        <v>17</v>
      </c>
      <c r="AF165" s="693" t="s">
        <v>299</v>
      </c>
      <c r="AG165" s="693" t="s">
        <v>204</v>
      </c>
      <c r="AH165" s="693" t="s">
        <v>638</v>
      </c>
      <c r="AI165" s="693" t="s">
        <v>71</v>
      </c>
      <c r="AJ165" s="693" t="s">
        <v>204</v>
      </c>
      <c r="AK165" s="689" t="s">
        <v>1070</v>
      </c>
      <c r="AL165" s="693" t="s">
        <v>42</v>
      </c>
      <c r="AM165" s="622">
        <v>1</v>
      </c>
      <c r="AN165" s="623" t="str">
        <f>+AB165</f>
        <v>Racionalizar el trámite “Reconocimiento y pago de prestaciones por concepto de atenciones médico-quirúrgicas a víctimas de eventos catastróficos, terroristas y de accidentes de tránsito” a través de la revisión y mejoramiento del formato FURPEN.</v>
      </c>
      <c r="AO165" s="624">
        <f>+AC165</f>
        <v>0</v>
      </c>
      <c r="AP165" s="700" t="s">
        <v>48</v>
      </c>
      <c r="AQ165" s="622">
        <v>1</v>
      </c>
      <c r="AR165" s="689" t="str">
        <f t="shared" si="298"/>
        <v>Racionalizar el trámite “Reconocimiento y pago de prestaciones por concepto de atenciones médico-quirúrgicas a víctimas de eventos catastróficos, terroristas y de accidentes de tránsito” a través de la revisión y mejoramiento del formato FURPEN.</v>
      </c>
      <c r="AS165" s="696">
        <f>+AO165/4</f>
        <v>0</v>
      </c>
      <c r="AT165" s="694">
        <v>0</v>
      </c>
      <c r="AU165" s="696">
        <v>0</v>
      </c>
      <c r="AV165" s="692">
        <f t="shared" si="300"/>
        <v>0</v>
      </c>
      <c r="AW165" s="692" t="e">
        <f t="shared" si="301"/>
        <v>#DIV/0!</v>
      </c>
      <c r="AX165" s="692">
        <f t="shared" si="302"/>
        <v>0</v>
      </c>
      <c r="AY165" s="692" t="e">
        <f t="shared" si="303"/>
        <v>#DIV/0!</v>
      </c>
      <c r="AZ165" s="605" t="s">
        <v>1337</v>
      </c>
      <c r="BA165" s="622">
        <v>0</v>
      </c>
      <c r="BB165" s="689" t="str">
        <f t="shared" si="304"/>
        <v>Racionalizar el trámite “Reconocimiento y pago de prestaciones por concepto de atenciones médico-quirúrgicas a víctimas de eventos catastróficos, terroristas y de accidentes de tránsito” a través de la revisión y mejoramiento del formato FURPEN.</v>
      </c>
      <c r="BC165" s="696">
        <f>+AO165/4</f>
        <v>0</v>
      </c>
      <c r="BD165" s="608"/>
      <c r="BE165" s="696"/>
      <c r="BF165" s="692" t="e">
        <f t="shared" si="306"/>
        <v>#DIV/0!</v>
      </c>
      <c r="BG165" s="692" t="e">
        <f t="shared" si="307"/>
        <v>#DIV/0!</v>
      </c>
      <c r="BH165" s="692">
        <f t="shared" si="308"/>
        <v>0</v>
      </c>
      <c r="BI165" s="692" t="e">
        <f t="shared" si="309"/>
        <v>#DIV/0!</v>
      </c>
      <c r="BJ165" s="762"/>
      <c r="BK165" s="622">
        <v>0</v>
      </c>
      <c r="BL165" s="689" t="str">
        <f t="shared" si="310"/>
        <v>Racionalizar el trámite “Reconocimiento y pago de prestaciones por concepto de atenciones médico-quirúrgicas a víctimas de eventos catastróficos, terroristas y de accidentes de tránsito” a través de la revisión y mejoramiento del formato FURPEN.</v>
      </c>
      <c r="BM165" s="696">
        <f>+AO165/4</f>
        <v>0</v>
      </c>
      <c r="BN165" s="694"/>
      <c r="BO165" s="694"/>
      <c r="BP165" s="692" t="e">
        <f t="shared" si="312"/>
        <v>#DIV/0!</v>
      </c>
      <c r="BQ165" s="692" t="e">
        <f t="shared" si="313"/>
        <v>#DIV/0!</v>
      </c>
      <c r="BR165" s="692">
        <f t="shared" si="314"/>
        <v>0</v>
      </c>
      <c r="BS165" s="692" t="e">
        <f t="shared" si="315"/>
        <v>#DIV/0!</v>
      </c>
      <c r="BT165" s="625"/>
      <c r="BU165" s="622">
        <v>0</v>
      </c>
      <c r="BV165" s="689" t="str">
        <f t="shared" si="316"/>
        <v>Racionalizar el trámite “Reconocimiento y pago de prestaciones por concepto de atenciones médico-quirúrgicas a víctimas de eventos catastróficos, terroristas y de accidentes de tránsito” a través de la revisión y mejoramiento del formato FURPEN.</v>
      </c>
      <c r="BW165" s="696">
        <f>+AO165/4</f>
        <v>0</v>
      </c>
      <c r="BX165" s="694"/>
      <c r="BY165" s="694"/>
      <c r="BZ165" s="707" t="e">
        <f t="shared" si="318"/>
        <v>#DIV/0!</v>
      </c>
      <c r="CA165" s="707" t="e">
        <f t="shared" si="319"/>
        <v>#DIV/0!</v>
      </c>
      <c r="CB165" s="707">
        <f t="shared" si="320"/>
        <v>0</v>
      </c>
      <c r="CC165" s="707" t="e">
        <f t="shared" si="321"/>
        <v>#DIV/0!</v>
      </c>
      <c r="CD165" s="625"/>
      <c r="CE165" s="699">
        <f t="shared" ref="CE165:CE182" si="330">IF(AND(AQ165=0,AT165=0),"No Prog ni Ejec",IF(AQ165=0,CONCATENATE("No Prog, Ejec=  ",AT165),AT165/AQ165))</f>
        <v>0</v>
      </c>
      <c r="CF165" s="699" t="str">
        <f t="shared" ref="CF165:CF182" si="331">IF(AND(AS165=0,AU165=0),"No Prog ni Ejec",IF(AS165=0,CONCATENATE("No Prog, Ejec=  ",AU165),AU165/AS165))</f>
        <v>No Prog ni Ejec</v>
      </c>
      <c r="CG165" s="699" t="str">
        <f t="shared" ref="CG165:CG182" si="332">IF(AND(BA165=0,BD165=0),"No Prog ni Ejec",IF(BA165=0,CONCATENATE("No Prog, Ejec=  ",BD165),BD165/BA165))</f>
        <v>No Prog ni Ejec</v>
      </c>
      <c r="CH165" s="699" t="str">
        <f t="shared" ref="CH165:CH182" si="333">IF(AND(BC165=0,BE165=0),"No Prog ni Ejec",IF(BC165=0,CONCATENATE("No Prog, Ejec=  ",BE165),BE165/BC165))</f>
        <v>No Prog ni Ejec</v>
      </c>
      <c r="CI165" s="699" t="str">
        <f t="shared" ref="CI165:CI182" si="334">IF(AND(BK165=0,BN165=0),"No Prog ni Ejec",IF(BK165=0,CONCATENATE("No Prog, Ejec=  ",BN165),BN165/BK165))</f>
        <v>No Prog ni Ejec</v>
      </c>
      <c r="CJ165" s="699" t="str">
        <f t="shared" ref="CJ165:CJ182" si="335">IF(AND(BM165=0,BO165=0),"No Prog ni Ejec",IF(BM165=0,CONCATENATE("No Prog, Ejec=  ",BO165),BO165/BM165))</f>
        <v>No Prog ni Ejec</v>
      </c>
      <c r="CK165" s="699" t="str">
        <f t="shared" ref="CK165:CK182" si="336">IF(AND(BU165=0,BX165=0),"No Prog ni Ejec",IF(BU165=0,CONCATENATE("No Prog, Ejec=  ",BX165),BX165/BU165))</f>
        <v>No Prog ni Ejec</v>
      </c>
      <c r="CL165" s="879" t="str">
        <f t="shared" ref="CL165:CL182" si="337">IF(AND(BW165=0,BY165=0),"No Prog ni Ejec",IF(BW165=0,CONCATENATE("No Prog, Ejec=  ",BY165),BY165/BW165))</f>
        <v>No Prog ni Ejec</v>
      </c>
      <c r="CM165" s="613">
        <f t="shared" si="271"/>
        <v>0</v>
      </c>
      <c r="CR165" s="125">
        <v>1</v>
      </c>
      <c r="CS165" s="166"/>
      <c r="CT165" s="166"/>
      <c r="CU165" s="166"/>
      <c r="CV165" s="166"/>
      <c r="CW165" s="166"/>
      <c r="CX165" s="166"/>
      <c r="CY165" s="166"/>
      <c r="CZ165" s="166"/>
      <c r="DA165" s="166"/>
      <c r="DB165" s="166"/>
      <c r="DC165" s="166"/>
    </row>
    <row r="166" spans="1:107" s="81" customFormat="1" ht="101.25" hidden="1" customHeight="1" x14ac:dyDescent="0.2">
      <c r="A166" s="785">
        <v>11200</v>
      </c>
      <c r="B166" s="693" t="s">
        <v>1</v>
      </c>
      <c r="C166" s="693" t="s">
        <v>336</v>
      </c>
      <c r="D166" s="129" t="s">
        <v>1023</v>
      </c>
      <c r="E166" s="129"/>
      <c r="F166" s="129"/>
      <c r="G166" s="129"/>
      <c r="H166" s="129"/>
      <c r="I166" s="129"/>
      <c r="J166" s="129"/>
      <c r="K166" s="129"/>
      <c r="L166" s="129"/>
      <c r="M166" s="129"/>
      <c r="N166" s="129"/>
      <c r="O166" s="129"/>
      <c r="P166" s="129"/>
      <c r="Q166" s="693" t="s">
        <v>1136</v>
      </c>
      <c r="R166" s="693" t="s">
        <v>1148</v>
      </c>
      <c r="S166" s="968" t="s">
        <v>111</v>
      </c>
      <c r="T166" s="959" t="s">
        <v>94</v>
      </c>
      <c r="U166" s="693" t="s">
        <v>204</v>
      </c>
      <c r="V166" s="693" t="s">
        <v>204</v>
      </c>
      <c r="W166" s="695" t="s">
        <v>929</v>
      </c>
      <c r="X166" s="702" t="s">
        <v>1447</v>
      </c>
      <c r="Y166" s="60" t="s">
        <v>52</v>
      </c>
      <c r="Z166" s="74">
        <v>1</v>
      </c>
      <c r="AA166" s="695" t="s">
        <v>926</v>
      </c>
      <c r="AB166" s="724" t="s">
        <v>918</v>
      </c>
      <c r="AC166" s="691">
        <v>0</v>
      </c>
      <c r="AD166" s="706">
        <v>1</v>
      </c>
      <c r="AE166" s="693" t="s">
        <v>18</v>
      </c>
      <c r="AF166" s="693" t="s">
        <v>24</v>
      </c>
      <c r="AG166" s="693" t="s">
        <v>204</v>
      </c>
      <c r="AH166" s="693" t="s">
        <v>638</v>
      </c>
      <c r="AI166" s="693" t="s">
        <v>1055</v>
      </c>
      <c r="AJ166" s="693" t="s">
        <v>1278</v>
      </c>
      <c r="AK166" s="702" t="s">
        <v>1460</v>
      </c>
      <c r="AL166" s="693" t="s">
        <v>40</v>
      </c>
      <c r="AM166" s="66">
        <v>1</v>
      </c>
      <c r="AN166" s="693" t="str">
        <f>+AB166</f>
        <v>Realizar la audiencia pública de rendición de cuentas y comunicar los resultados a la ciudadanía y partes interesadas.</v>
      </c>
      <c r="AO166" s="703">
        <f t="shared" ref="AO166:AO174" si="338">+AC166</f>
        <v>0</v>
      </c>
      <c r="AP166" s="700" t="s">
        <v>48</v>
      </c>
      <c r="AQ166" s="66">
        <v>0</v>
      </c>
      <c r="AR166" s="693" t="str">
        <f t="shared" ref="AR166:AR182" si="339">+AN166</f>
        <v>Realizar la audiencia pública de rendición de cuentas y comunicar los resultados a la ciudadanía y partes interesadas.</v>
      </c>
      <c r="AS166" s="691">
        <f>+AO166/4</f>
        <v>0</v>
      </c>
      <c r="AT166" s="491">
        <v>0</v>
      </c>
      <c r="AU166" s="709">
        <v>0</v>
      </c>
      <c r="AV166" s="690" t="e">
        <f t="shared" ref="AV166:AV182" si="340">+(AT166/AQ166)</f>
        <v>#DIV/0!</v>
      </c>
      <c r="AW166" s="690" t="e">
        <f t="shared" ref="AW166:AW182" si="341">+(AU166/AS166)</f>
        <v>#DIV/0!</v>
      </c>
      <c r="AX166" s="690">
        <f t="shared" ref="AX166:AX182" si="342">+(AT166/AM166)</f>
        <v>0</v>
      </c>
      <c r="AY166" s="690" t="e">
        <f t="shared" ref="AY166:AY182" si="343">+(AU166/AO166)</f>
        <v>#DIV/0!</v>
      </c>
      <c r="AZ166" s="490" t="s">
        <v>1338</v>
      </c>
      <c r="BA166" s="66">
        <v>0</v>
      </c>
      <c r="BB166" s="693" t="str">
        <f t="shared" ref="BB166:BB182" si="344">+AN166</f>
        <v>Realizar la audiencia pública de rendición de cuentas y comunicar los resultados a la ciudadanía y partes interesadas.</v>
      </c>
      <c r="BC166" s="691">
        <f>+AO166/4</f>
        <v>0</v>
      </c>
      <c r="BD166" s="716">
        <v>0</v>
      </c>
      <c r="BE166" s="691">
        <v>0</v>
      </c>
      <c r="BF166" s="690" t="e">
        <f t="shared" ref="BF166:BF182" si="345">+(BD166/BA166)</f>
        <v>#DIV/0!</v>
      </c>
      <c r="BG166" s="690" t="e">
        <f t="shared" ref="BG166:BG182" si="346">+(BE166/BC166)</f>
        <v>#DIV/0!</v>
      </c>
      <c r="BH166" s="690">
        <f t="shared" ref="BH166:BH182" si="347">+(BD166+AT166)/AM166</f>
        <v>0</v>
      </c>
      <c r="BI166" s="690" t="e">
        <f t="shared" ref="BI166:BI182" si="348">+(BE166+AU166)/AO166</f>
        <v>#DIV/0!</v>
      </c>
      <c r="BJ166" s="512" t="s">
        <v>1677</v>
      </c>
      <c r="BK166" s="66">
        <v>1</v>
      </c>
      <c r="BL166" s="693" t="str">
        <f t="shared" ref="BL166:BL182" si="349">+AN166</f>
        <v>Realizar la audiencia pública de rendición de cuentas y comunicar los resultados a la ciudadanía y partes interesadas.</v>
      </c>
      <c r="BM166" s="691">
        <f>+AO166/4</f>
        <v>0</v>
      </c>
      <c r="BN166" s="695"/>
      <c r="BO166" s="695"/>
      <c r="BP166" s="690">
        <f t="shared" ref="BP166:BP182" si="350">+(BN166/BK166)</f>
        <v>0</v>
      </c>
      <c r="BQ166" s="690" t="e">
        <f t="shared" ref="BQ166:BQ182" si="351">+(BO166/BM166)</f>
        <v>#DIV/0!</v>
      </c>
      <c r="BR166" s="690">
        <f t="shared" ref="BR166:BR182" si="352">+(BD166+AT166+BN166)/AM166</f>
        <v>0</v>
      </c>
      <c r="BS166" s="690" t="e">
        <f t="shared" ref="BS166:BS182" si="353">+(BE166+AU166+BO166)/AO166</f>
        <v>#DIV/0!</v>
      </c>
      <c r="BT166" s="690"/>
      <c r="BU166" s="66">
        <v>0</v>
      </c>
      <c r="BV166" s="693" t="str">
        <f t="shared" ref="BV166:BV182" si="354">+AN166</f>
        <v>Realizar la audiencia pública de rendición de cuentas y comunicar los resultados a la ciudadanía y partes interesadas.</v>
      </c>
      <c r="BW166" s="691">
        <f>+AO166/4</f>
        <v>0</v>
      </c>
      <c r="BX166" s="695"/>
      <c r="BY166" s="695"/>
      <c r="BZ166" s="698" t="e">
        <f t="shared" ref="BZ166:BZ182" si="355">+(BX166/BU166)</f>
        <v>#DIV/0!</v>
      </c>
      <c r="CA166" s="698" t="e">
        <f t="shared" ref="CA166:CA179" si="356">+(BY166/BW166)</f>
        <v>#DIV/0!</v>
      </c>
      <c r="CB166" s="698">
        <f t="shared" ref="CB166:CB182" si="357">+(BD166+AT166+BN166+BX166)/AM166</f>
        <v>0</v>
      </c>
      <c r="CC166" s="698" t="e">
        <f t="shared" ref="CC166:CC179" si="358">+(BE166+AU166+BO166+BY166)/AO166</f>
        <v>#DIV/0!</v>
      </c>
      <c r="CD166" s="698"/>
      <c r="CE166" s="697" t="str">
        <f t="shared" si="330"/>
        <v>No Prog ni Ejec</v>
      </c>
      <c r="CF166" s="697" t="str">
        <f t="shared" si="331"/>
        <v>No Prog ni Ejec</v>
      </c>
      <c r="CG166" s="697" t="str">
        <f t="shared" si="332"/>
        <v>No Prog ni Ejec</v>
      </c>
      <c r="CH166" s="697" t="str">
        <f t="shared" si="333"/>
        <v>No Prog ni Ejec</v>
      </c>
      <c r="CI166" s="697">
        <f t="shared" si="334"/>
        <v>0</v>
      </c>
      <c r="CJ166" s="697" t="str">
        <f t="shared" si="335"/>
        <v>No Prog ni Ejec</v>
      </c>
      <c r="CK166" s="697" t="str">
        <f t="shared" si="336"/>
        <v>No Prog ni Ejec</v>
      </c>
      <c r="CL166" s="786" t="str">
        <f t="shared" si="337"/>
        <v>No Prog ni Ejec</v>
      </c>
      <c r="CM166" s="136">
        <f t="shared" si="271"/>
        <v>0</v>
      </c>
      <c r="CR166" s="125">
        <v>1</v>
      </c>
      <c r="CS166" s="166"/>
      <c r="CT166" s="166"/>
      <c r="CU166" s="166"/>
      <c r="CV166" s="166"/>
      <c r="CW166" s="166"/>
      <c r="CX166" s="166"/>
      <c r="CY166" s="166"/>
      <c r="CZ166" s="166"/>
      <c r="DA166" s="166"/>
      <c r="DB166" s="166"/>
      <c r="DC166" s="166"/>
    </row>
    <row r="167" spans="1:107" s="81" customFormat="1" ht="101.25" hidden="1" customHeight="1" x14ac:dyDescent="0.2">
      <c r="A167" s="785">
        <v>11200</v>
      </c>
      <c r="B167" s="693" t="s">
        <v>1</v>
      </c>
      <c r="C167" s="693" t="s">
        <v>336</v>
      </c>
      <c r="D167" s="129" t="s">
        <v>1023</v>
      </c>
      <c r="E167" s="129"/>
      <c r="F167" s="129"/>
      <c r="G167" s="129"/>
      <c r="H167" s="129"/>
      <c r="I167" s="129"/>
      <c r="J167" s="129"/>
      <c r="K167" s="129"/>
      <c r="L167" s="129"/>
      <c r="M167" s="129"/>
      <c r="N167" s="129"/>
      <c r="O167" s="129"/>
      <c r="P167" s="129"/>
      <c r="Q167" s="693" t="s">
        <v>1136</v>
      </c>
      <c r="R167" s="693" t="s">
        <v>1148</v>
      </c>
      <c r="S167" s="968"/>
      <c r="T167" s="959"/>
      <c r="U167" s="693" t="s">
        <v>204</v>
      </c>
      <c r="V167" s="693" t="s">
        <v>204</v>
      </c>
      <c r="W167" s="695" t="s">
        <v>929</v>
      </c>
      <c r="X167" s="724" t="s">
        <v>1447</v>
      </c>
      <c r="Y167" s="60" t="s">
        <v>52</v>
      </c>
      <c r="Z167" s="74">
        <v>1</v>
      </c>
      <c r="AA167" s="695" t="s">
        <v>926</v>
      </c>
      <c r="AB167" s="724" t="s">
        <v>918</v>
      </c>
      <c r="AC167" s="594">
        <v>10000000</v>
      </c>
      <c r="AD167" s="706">
        <v>1</v>
      </c>
      <c r="AE167" s="693" t="s">
        <v>18</v>
      </c>
      <c r="AF167" s="693" t="s">
        <v>24</v>
      </c>
      <c r="AG167" s="693" t="s">
        <v>204</v>
      </c>
      <c r="AH167" s="693" t="s">
        <v>638</v>
      </c>
      <c r="AI167" s="693" t="s">
        <v>1055</v>
      </c>
      <c r="AJ167" s="693" t="s">
        <v>1278</v>
      </c>
      <c r="AK167" s="702" t="s">
        <v>1450</v>
      </c>
      <c r="AL167" s="693" t="s">
        <v>40</v>
      </c>
      <c r="AM167" s="66">
        <v>1</v>
      </c>
      <c r="AN167" s="693" t="str">
        <f>+AB167</f>
        <v>Realizar la audiencia pública de rendición de cuentas y comunicar los resultados a la ciudadanía y partes interesadas.</v>
      </c>
      <c r="AO167" s="703">
        <f t="shared" si="338"/>
        <v>10000000</v>
      </c>
      <c r="AP167" s="700" t="s">
        <v>46</v>
      </c>
      <c r="AQ167" s="66">
        <v>0</v>
      </c>
      <c r="AR167" s="693" t="str">
        <f t="shared" ref="AR167" si="359">+AN167</f>
        <v>Realizar la audiencia pública de rendición de cuentas y comunicar los resultados a la ciudadanía y partes interesadas.</v>
      </c>
      <c r="AS167" s="691">
        <v>0</v>
      </c>
      <c r="AT167" s="491">
        <v>0</v>
      </c>
      <c r="AU167" s="709">
        <v>0</v>
      </c>
      <c r="AV167" s="690" t="e">
        <f t="shared" ref="AV167" si="360">+(AT167/AQ167)</f>
        <v>#DIV/0!</v>
      </c>
      <c r="AW167" s="690" t="e">
        <f t="shared" ref="AW167" si="361">+(AU167/AS167)</f>
        <v>#DIV/0!</v>
      </c>
      <c r="AX167" s="690">
        <f t="shared" ref="AX167" si="362">+(AT167/AM167)</f>
        <v>0</v>
      </c>
      <c r="AY167" s="690">
        <f t="shared" ref="AY167" si="363">+(AU167/AO167)</f>
        <v>0</v>
      </c>
      <c r="AZ167" s="490" t="s">
        <v>1338</v>
      </c>
      <c r="BA167" s="66">
        <v>0</v>
      </c>
      <c r="BB167" s="693" t="str">
        <f t="shared" ref="BB167" si="364">+AN167</f>
        <v>Realizar la audiencia pública de rendición de cuentas y comunicar los resultados a la ciudadanía y partes interesadas.</v>
      </c>
      <c r="BC167" s="691">
        <v>0</v>
      </c>
      <c r="BD167" s="716">
        <v>0</v>
      </c>
      <c r="BE167" s="691">
        <v>0</v>
      </c>
      <c r="BF167" s="690" t="e">
        <f t="shared" ref="BF167" si="365">+(BD167/BA167)</f>
        <v>#DIV/0!</v>
      </c>
      <c r="BG167" s="690" t="e">
        <f t="shared" ref="BG167" si="366">+(BE167/BC167)</f>
        <v>#DIV/0!</v>
      </c>
      <c r="BH167" s="690">
        <f t="shared" ref="BH167" si="367">+(BD167+AT167)/AM167</f>
        <v>0</v>
      </c>
      <c r="BI167" s="690">
        <f t="shared" ref="BI167" si="368">+(BE167+AU167)/AO167</f>
        <v>0</v>
      </c>
      <c r="BJ167" s="512" t="s">
        <v>1677</v>
      </c>
      <c r="BK167" s="66">
        <v>1</v>
      </c>
      <c r="BL167" s="693" t="str">
        <f t="shared" ref="BL167" si="369">+AN167</f>
        <v>Realizar la audiencia pública de rendición de cuentas y comunicar los resultados a la ciudadanía y partes interesadas.</v>
      </c>
      <c r="BM167" s="691">
        <f>+AO167</f>
        <v>10000000</v>
      </c>
      <c r="BN167" s="695"/>
      <c r="BO167" s="695"/>
      <c r="BP167" s="690">
        <f t="shared" ref="BP167" si="370">+(BN167/BK167)</f>
        <v>0</v>
      </c>
      <c r="BQ167" s="690">
        <f t="shared" ref="BQ167" si="371">+(BO167/BM167)</f>
        <v>0</v>
      </c>
      <c r="BR167" s="690">
        <f t="shared" ref="BR167" si="372">+(BD167+AT167+BN167)/AM167</f>
        <v>0</v>
      </c>
      <c r="BS167" s="690">
        <f t="shared" ref="BS167" si="373">+(BE167+AU167+BO167)/AO167</f>
        <v>0</v>
      </c>
      <c r="BT167" s="690"/>
      <c r="BU167" s="66">
        <v>0</v>
      </c>
      <c r="BV167" s="693" t="str">
        <f t="shared" ref="BV167" si="374">+AN167</f>
        <v>Realizar la audiencia pública de rendición de cuentas y comunicar los resultados a la ciudadanía y partes interesadas.</v>
      </c>
      <c r="BW167" s="691">
        <v>0</v>
      </c>
      <c r="BX167" s="695"/>
      <c r="BY167" s="695"/>
      <c r="BZ167" s="698" t="e">
        <f t="shared" ref="BZ167" si="375">+(BX167/BU167)</f>
        <v>#DIV/0!</v>
      </c>
      <c r="CA167" s="698" t="e">
        <f t="shared" ref="CA167" si="376">+(BY167/BW167)</f>
        <v>#DIV/0!</v>
      </c>
      <c r="CB167" s="698">
        <f t="shared" ref="CB167" si="377">+(BD167+AT167+BN167+BX167)/AM167</f>
        <v>0</v>
      </c>
      <c r="CC167" s="698">
        <f t="shared" ref="CC167" si="378">+(BE167+AU167+BO167+BY167)/AO167</f>
        <v>0</v>
      </c>
      <c r="CD167" s="698"/>
      <c r="CE167" s="697" t="str">
        <f t="shared" ref="CE167" si="379">IF(AND(AQ167=0,AT167=0),"No Prog ni Ejec",IF(AQ167=0,CONCATENATE("No Prog, Ejec=  ",AT167),AT167/AQ167))</f>
        <v>No Prog ni Ejec</v>
      </c>
      <c r="CF167" s="697" t="str">
        <f t="shared" ref="CF167" si="380">IF(AND(AS167=0,AU167=0),"No Prog ni Ejec",IF(AS167=0,CONCATENATE("No Prog, Ejec=  ",AU167),AU167/AS167))</f>
        <v>No Prog ni Ejec</v>
      </c>
      <c r="CG167" s="697" t="str">
        <f t="shared" ref="CG167" si="381">IF(AND(BA167=0,BD167=0),"No Prog ni Ejec",IF(BA167=0,CONCATENATE("No Prog, Ejec=  ",BD167),BD167/BA167))</f>
        <v>No Prog ni Ejec</v>
      </c>
      <c r="CH167" s="697" t="str">
        <f t="shared" ref="CH167" si="382">IF(AND(BC167=0,BE167=0),"No Prog ni Ejec",IF(BC167=0,CONCATENATE("No Prog, Ejec=  ",BE167),BE167/BC167))</f>
        <v>No Prog ni Ejec</v>
      </c>
      <c r="CI167" s="697">
        <f t="shared" ref="CI167" si="383">IF(AND(BK167=0,BN167=0),"No Prog ni Ejec",IF(BK167=0,CONCATENATE("No Prog, Ejec=  ",BN167),BN167/BK167))</f>
        <v>0</v>
      </c>
      <c r="CJ167" s="697">
        <f t="shared" ref="CJ167" si="384">IF(AND(BM167=0,BO167=0),"No Prog ni Ejec",IF(BM167=0,CONCATENATE("No Prog, Ejec=  ",BO167),BO167/BM167))</f>
        <v>0</v>
      </c>
      <c r="CK167" s="697" t="str">
        <f t="shared" ref="CK167" si="385">IF(AND(BU167=0,BX167=0),"No Prog ni Ejec",IF(BU167=0,CONCATENATE("No Prog, Ejec=  ",BX167),BX167/BU167))</f>
        <v>No Prog ni Ejec</v>
      </c>
      <c r="CL167" s="786" t="str">
        <f t="shared" ref="CL167" si="386">IF(AND(BW167=0,BY167=0),"No Prog ni Ejec",IF(BW167=0,CONCATENATE("No Prog, Ejec=  ",BY167),BY167/BW167))</f>
        <v>No Prog ni Ejec</v>
      </c>
      <c r="CM167" s="136">
        <f t="shared" ref="CM167" si="387">+AC167-AS167-BC167-BM167-BW167</f>
        <v>0</v>
      </c>
      <c r="CR167" s="125"/>
      <c r="CS167" s="166"/>
      <c r="CT167" s="166"/>
      <c r="CU167" s="166"/>
      <c r="CV167" s="166"/>
      <c r="CW167" s="166"/>
      <c r="CX167" s="166"/>
      <c r="CY167" s="166"/>
      <c r="CZ167" s="166"/>
      <c r="DA167" s="166"/>
      <c r="DB167" s="166"/>
      <c r="DC167" s="166"/>
    </row>
    <row r="168" spans="1:107" s="81" customFormat="1" ht="99" hidden="1" customHeight="1" x14ac:dyDescent="0.2">
      <c r="A168" s="785">
        <v>11200</v>
      </c>
      <c r="B168" s="693" t="s">
        <v>1</v>
      </c>
      <c r="C168" s="693" t="s">
        <v>336</v>
      </c>
      <c r="D168" s="129" t="s">
        <v>1023</v>
      </c>
      <c r="E168" s="129"/>
      <c r="F168" s="129"/>
      <c r="G168" s="129"/>
      <c r="H168" s="129"/>
      <c r="I168" s="129"/>
      <c r="J168" s="129"/>
      <c r="K168" s="129"/>
      <c r="L168" s="129"/>
      <c r="M168" s="129"/>
      <c r="N168" s="129"/>
      <c r="O168" s="129"/>
      <c r="P168" s="129"/>
      <c r="Q168" s="693" t="s">
        <v>1136</v>
      </c>
      <c r="R168" s="693" t="s">
        <v>1148</v>
      </c>
      <c r="S168" s="968" t="s">
        <v>111</v>
      </c>
      <c r="T168" s="959" t="s">
        <v>94</v>
      </c>
      <c r="U168" s="693" t="s">
        <v>204</v>
      </c>
      <c r="V168" s="693" t="s">
        <v>204</v>
      </c>
      <c r="W168" s="695" t="s">
        <v>930</v>
      </c>
      <c r="X168" s="702" t="s">
        <v>1451</v>
      </c>
      <c r="Y168" s="60" t="s">
        <v>52</v>
      </c>
      <c r="Z168" s="74">
        <v>1</v>
      </c>
      <c r="AA168" s="695" t="s">
        <v>927</v>
      </c>
      <c r="AB168" s="724" t="s">
        <v>919</v>
      </c>
      <c r="AC168" s="691">
        <v>0</v>
      </c>
      <c r="AD168" s="706">
        <v>1</v>
      </c>
      <c r="AE168" s="693" t="s">
        <v>18</v>
      </c>
      <c r="AF168" s="693" t="s">
        <v>24</v>
      </c>
      <c r="AG168" s="693" t="s">
        <v>204</v>
      </c>
      <c r="AH168" s="693" t="s">
        <v>638</v>
      </c>
      <c r="AI168" s="693" t="s">
        <v>1055</v>
      </c>
      <c r="AJ168" s="693" t="s">
        <v>1288</v>
      </c>
      <c r="AK168" s="702" t="s">
        <v>1452</v>
      </c>
      <c r="AL168" s="693" t="s">
        <v>40</v>
      </c>
      <c r="AM168" s="66">
        <v>1</v>
      </c>
      <c r="AN168" s="693" t="str">
        <f>+AB168</f>
        <v>Realizar la rendición de cuentas interna</v>
      </c>
      <c r="AO168" s="703">
        <f t="shared" si="338"/>
        <v>0</v>
      </c>
      <c r="AP168" s="700" t="s">
        <v>48</v>
      </c>
      <c r="AQ168" s="66">
        <v>0</v>
      </c>
      <c r="AR168" s="693" t="str">
        <f t="shared" si="339"/>
        <v>Realizar la rendición de cuentas interna</v>
      </c>
      <c r="AS168" s="691">
        <f>+AO168/4</f>
        <v>0</v>
      </c>
      <c r="AT168" s="491">
        <v>0</v>
      </c>
      <c r="AU168" s="691">
        <v>0</v>
      </c>
      <c r="AV168" s="690" t="e">
        <f t="shared" si="340"/>
        <v>#DIV/0!</v>
      </c>
      <c r="AW168" s="690" t="e">
        <f t="shared" si="341"/>
        <v>#DIV/0!</v>
      </c>
      <c r="AX168" s="690">
        <f t="shared" si="342"/>
        <v>0</v>
      </c>
      <c r="AY168" s="690" t="e">
        <f t="shared" si="343"/>
        <v>#DIV/0!</v>
      </c>
      <c r="AZ168" s="522" t="s">
        <v>1354</v>
      </c>
      <c r="BA168" s="66">
        <v>0</v>
      </c>
      <c r="BB168" s="693" t="str">
        <f t="shared" si="344"/>
        <v>Realizar la rendición de cuentas interna</v>
      </c>
      <c r="BC168" s="691">
        <f>+AO168/4</f>
        <v>0</v>
      </c>
      <c r="BD168" s="716">
        <v>0</v>
      </c>
      <c r="BE168" s="691">
        <v>0</v>
      </c>
      <c r="BF168" s="690" t="e">
        <f t="shared" si="345"/>
        <v>#DIV/0!</v>
      </c>
      <c r="BG168" s="690" t="e">
        <f t="shared" si="346"/>
        <v>#DIV/0!</v>
      </c>
      <c r="BH168" s="690">
        <f t="shared" si="347"/>
        <v>0</v>
      </c>
      <c r="BI168" s="690" t="e">
        <f t="shared" si="348"/>
        <v>#DIV/0!</v>
      </c>
      <c r="BJ168" s="512" t="s">
        <v>1677</v>
      </c>
      <c r="BK168" s="66">
        <v>1</v>
      </c>
      <c r="BL168" s="693" t="str">
        <f t="shared" si="349"/>
        <v>Realizar la rendición de cuentas interna</v>
      </c>
      <c r="BM168" s="691">
        <f>+AO168/4</f>
        <v>0</v>
      </c>
      <c r="BN168" s="695"/>
      <c r="BO168" s="695"/>
      <c r="BP168" s="690">
        <f t="shared" si="350"/>
        <v>0</v>
      </c>
      <c r="BQ168" s="690" t="e">
        <f t="shared" si="351"/>
        <v>#DIV/0!</v>
      </c>
      <c r="BR168" s="690">
        <f t="shared" si="352"/>
        <v>0</v>
      </c>
      <c r="BS168" s="690" t="e">
        <f t="shared" si="353"/>
        <v>#DIV/0!</v>
      </c>
      <c r="BT168" s="690"/>
      <c r="BU168" s="66">
        <v>0</v>
      </c>
      <c r="BV168" s="693" t="str">
        <f t="shared" si="354"/>
        <v>Realizar la rendición de cuentas interna</v>
      </c>
      <c r="BW168" s="691">
        <f>+AO168/4</f>
        <v>0</v>
      </c>
      <c r="BX168" s="695"/>
      <c r="BY168" s="695"/>
      <c r="BZ168" s="698" t="e">
        <f t="shared" si="355"/>
        <v>#DIV/0!</v>
      </c>
      <c r="CA168" s="698" t="e">
        <f t="shared" si="356"/>
        <v>#DIV/0!</v>
      </c>
      <c r="CB168" s="698">
        <f t="shared" si="357"/>
        <v>0</v>
      </c>
      <c r="CC168" s="698" t="e">
        <f t="shared" si="358"/>
        <v>#DIV/0!</v>
      </c>
      <c r="CD168" s="698"/>
      <c r="CE168" s="697" t="str">
        <f t="shared" si="330"/>
        <v>No Prog ni Ejec</v>
      </c>
      <c r="CF168" s="697" t="str">
        <f t="shared" si="331"/>
        <v>No Prog ni Ejec</v>
      </c>
      <c r="CG168" s="697" t="str">
        <f t="shared" si="332"/>
        <v>No Prog ni Ejec</v>
      </c>
      <c r="CH168" s="697" t="str">
        <f t="shared" si="333"/>
        <v>No Prog ni Ejec</v>
      </c>
      <c r="CI168" s="697">
        <f t="shared" si="334"/>
        <v>0</v>
      </c>
      <c r="CJ168" s="697" t="str">
        <f t="shared" si="335"/>
        <v>No Prog ni Ejec</v>
      </c>
      <c r="CK168" s="697" t="str">
        <f t="shared" si="336"/>
        <v>No Prog ni Ejec</v>
      </c>
      <c r="CL168" s="786" t="str">
        <f t="shared" si="337"/>
        <v>No Prog ni Ejec</v>
      </c>
      <c r="CM168" s="136">
        <f t="shared" si="271"/>
        <v>0</v>
      </c>
      <c r="CR168" s="125">
        <v>1</v>
      </c>
      <c r="CS168" s="166"/>
      <c r="CT168" s="166"/>
      <c r="CU168" s="166"/>
      <c r="CV168" s="166"/>
      <c r="CW168" s="166"/>
      <c r="CX168" s="166"/>
      <c r="CY168" s="166"/>
      <c r="CZ168" s="166"/>
      <c r="DA168" s="166"/>
      <c r="DB168" s="166"/>
      <c r="DC168" s="166"/>
    </row>
    <row r="169" spans="1:107" s="81" customFormat="1" ht="99" hidden="1" customHeight="1" x14ac:dyDescent="0.2">
      <c r="A169" s="785">
        <v>11200</v>
      </c>
      <c r="B169" s="693" t="s">
        <v>1</v>
      </c>
      <c r="C169" s="693" t="s">
        <v>336</v>
      </c>
      <c r="D169" s="129" t="s">
        <v>1023</v>
      </c>
      <c r="E169" s="129"/>
      <c r="F169" s="129"/>
      <c r="G169" s="129"/>
      <c r="H169" s="129"/>
      <c r="I169" s="129"/>
      <c r="J169" s="129"/>
      <c r="K169" s="129"/>
      <c r="L169" s="129"/>
      <c r="M169" s="129"/>
      <c r="N169" s="129"/>
      <c r="O169" s="129"/>
      <c r="P169" s="129"/>
      <c r="Q169" s="693" t="s">
        <v>1136</v>
      </c>
      <c r="R169" s="693" t="s">
        <v>1148</v>
      </c>
      <c r="S169" s="968"/>
      <c r="T169" s="959"/>
      <c r="U169" s="693" t="s">
        <v>204</v>
      </c>
      <c r="V169" s="693" t="s">
        <v>204</v>
      </c>
      <c r="W169" s="695" t="s">
        <v>930</v>
      </c>
      <c r="X169" s="693" t="s">
        <v>1451</v>
      </c>
      <c r="Y169" s="60" t="s">
        <v>52</v>
      </c>
      <c r="Z169" s="74">
        <v>1</v>
      </c>
      <c r="AA169" s="695" t="s">
        <v>927</v>
      </c>
      <c r="AB169" s="724" t="s">
        <v>919</v>
      </c>
      <c r="AC169" s="691">
        <v>0</v>
      </c>
      <c r="AD169" s="706">
        <v>1</v>
      </c>
      <c r="AE169" s="693" t="s">
        <v>18</v>
      </c>
      <c r="AF169" s="693" t="s">
        <v>24</v>
      </c>
      <c r="AG169" s="693" t="s">
        <v>204</v>
      </c>
      <c r="AH169" s="693" t="s">
        <v>638</v>
      </c>
      <c r="AI169" s="693" t="s">
        <v>1055</v>
      </c>
      <c r="AJ169" s="693" t="s">
        <v>1288</v>
      </c>
      <c r="AK169" s="702" t="s">
        <v>1459</v>
      </c>
      <c r="AL169" s="693" t="s">
        <v>40</v>
      </c>
      <c r="AM169" s="66">
        <v>1</v>
      </c>
      <c r="AN169" s="693" t="str">
        <f>+AB169</f>
        <v>Realizar la rendición de cuentas interna</v>
      </c>
      <c r="AO169" s="703">
        <f t="shared" ref="AO169" si="388">+AC169</f>
        <v>0</v>
      </c>
      <c r="AP169" s="700" t="s">
        <v>48</v>
      </c>
      <c r="AQ169" s="66">
        <v>0</v>
      </c>
      <c r="AR169" s="693" t="str">
        <f t="shared" ref="AR169" si="389">+AN169</f>
        <v>Realizar la rendición de cuentas interna</v>
      </c>
      <c r="AS169" s="691">
        <f>+AO169/4</f>
        <v>0</v>
      </c>
      <c r="AT169" s="491">
        <v>0</v>
      </c>
      <c r="AU169" s="691">
        <v>0</v>
      </c>
      <c r="AV169" s="690" t="e">
        <f t="shared" ref="AV169" si="390">+(AT169/AQ169)</f>
        <v>#DIV/0!</v>
      </c>
      <c r="AW169" s="690" t="e">
        <f t="shared" ref="AW169" si="391">+(AU169/AS169)</f>
        <v>#DIV/0!</v>
      </c>
      <c r="AX169" s="690">
        <f t="shared" ref="AX169" si="392">+(AT169/AM169)</f>
        <v>0</v>
      </c>
      <c r="AY169" s="690" t="e">
        <f t="shared" ref="AY169" si="393">+(AU169/AO169)</f>
        <v>#DIV/0!</v>
      </c>
      <c r="AZ169" s="522" t="s">
        <v>1354</v>
      </c>
      <c r="BA169" s="66">
        <v>0</v>
      </c>
      <c r="BB169" s="693" t="str">
        <f t="shared" ref="BB169" si="394">+AN169</f>
        <v>Realizar la rendición de cuentas interna</v>
      </c>
      <c r="BC169" s="691">
        <f>+AO169/4</f>
        <v>0</v>
      </c>
      <c r="BD169" s="716">
        <v>0</v>
      </c>
      <c r="BE169" s="691">
        <v>0</v>
      </c>
      <c r="BF169" s="690" t="e">
        <f t="shared" ref="BF169" si="395">+(BD169/BA169)</f>
        <v>#DIV/0!</v>
      </c>
      <c r="BG169" s="690" t="e">
        <f t="shared" ref="BG169" si="396">+(BE169/BC169)</f>
        <v>#DIV/0!</v>
      </c>
      <c r="BH169" s="690">
        <f t="shared" ref="BH169" si="397">+(BD169+AT169)/AM169</f>
        <v>0</v>
      </c>
      <c r="BI169" s="690" t="e">
        <f t="shared" ref="BI169" si="398">+(BE169+AU169)/AO169</f>
        <v>#DIV/0!</v>
      </c>
      <c r="BJ169" s="512"/>
      <c r="BK169" s="66">
        <v>1</v>
      </c>
      <c r="BL169" s="693" t="str">
        <f t="shared" ref="BL169" si="399">+AN169</f>
        <v>Realizar la rendición de cuentas interna</v>
      </c>
      <c r="BM169" s="691">
        <f>+AO169/4</f>
        <v>0</v>
      </c>
      <c r="BN169" s="695"/>
      <c r="BO169" s="695"/>
      <c r="BP169" s="690">
        <f t="shared" ref="BP169" si="400">+(BN169/BK169)</f>
        <v>0</v>
      </c>
      <c r="BQ169" s="690" t="e">
        <f t="shared" ref="BQ169" si="401">+(BO169/BM169)</f>
        <v>#DIV/0!</v>
      </c>
      <c r="BR169" s="690">
        <f t="shared" ref="BR169" si="402">+(BD169+AT169+BN169)/AM169</f>
        <v>0</v>
      </c>
      <c r="BS169" s="690" t="e">
        <f t="shared" ref="BS169" si="403">+(BE169+AU169+BO169)/AO169</f>
        <v>#DIV/0!</v>
      </c>
      <c r="BT169" s="690"/>
      <c r="BU169" s="66">
        <v>0</v>
      </c>
      <c r="BV169" s="693" t="str">
        <f t="shared" ref="BV169" si="404">+AN169</f>
        <v>Realizar la rendición de cuentas interna</v>
      </c>
      <c r="BW169" s="691">
        <f>+AO169/4</f>
        <v>0</v>
      </c>
      <c r="BX169" s="695"/>
      <c r="BY169" s="695"/>
      <c r="BZ169" s="698" t="e">
        <f t="shared" ref="BZ169" si="405">+(BX169/BU169)</f>
        <v>#DIV/0!</v>
      </c>
      <c r="CA169" s="698" t="e">
        <f t="shared" ref="CA169" si="406">+(BY169/BW169)</f>
        <v>#DIV/0!</v>
      </c>
      <c r="CB169" s="698">
        <f t="shared" ref="CB169" si="407">+(BD169+AT169+BN169+BX169)/AM169</f>
        <v>0</v>
      </c>
      <c r="CC169" s="698" t="e">
        <f t="shared" ref="CC169" si="408">+(BE169+AU169+BO169+BY169)/AO169</f>
        <v>#DIV/0!</v>
      </c>
      <c r="CD169" s="698"/>
      <c r="CE169" s="697" t="str">
        <f t="shared" ref="CE169" si="409">IF(AND(AQ169=0,AT169=0),"No Prog ni Ejec",IF(AQ169=0,CONCATENATE("No Prog, Ejec=  ",AT169),AT169/AQ169))</f>
        <v>No Prog ni Ejec</v>
      </c>
      <c r="CF169" s="697" t="str">
        <f t="shared" ref="CF169" si="410">IF(AND(AS169=0,AU169=0),"No Prog ni Ejec",IF(AS169=0,CONCATENATE("No Prog, Ejec=  ",AU169),AU169/AS169))</f>
        <v>No Prog ni Ejec</v>
      </c>
      <c r="CG169" s="697" t="str">
        <f t="shared" ref="CG169" si="411">IF(AND(BA169=0,BD169=0),"No Prog ni Ejec",IF(BA169=0,CONCATENATE("No Prog, Ejec=  ",BD169),BD169/BA169))</f>
        <v>No Prog ni Ejec</v>
      </c>
      <c r="CH169" s="697" t="str">
        <f t="shared" ref="CH169" si="412">IF(AND(BC169=0,BE169=0),"No Prog ni Ejec",IF(BC169=0,CONCATENATE("No Prog, Ejec=  ",BE169),BE169/BC169))</f>
        <v>No Prog ni Ejec</v>
      </c>
      <c r="CI169" s="697">
        <f t="shared" ref="CI169" si="413">IF(AND(BK169=0,BN169=0),"No Prog ni Ejec",IF(BK169=0,CONCATENATE("No Prog, Ejec=  ",BN169),BN169/BK169))</f>
        <v>0</v>
      </c>
      <c r="CJ169" s="697" t="str">
        <f t="shared" ref="CJ169" si="414">IF(AND(BM169=0,BO169=0),"No Prog ni Ejec",IF(BM169=0,CONCATENATE("No Prog, Ejec=  ",BO169),BO169/BM169))</f>
        <v>No Prog ni Ejec</v>
      </c>
      <c r="CK169" s="697" t="str">
        <f t="shared" ref="CK169" si="415">IF(AND(BU169=0,BX169=0),"No Prog ni Ejec",IF(BU169=0,CONCATENATE("No Prog, Ejec=  ",BX169),BX169/BU169))</f>
        <v>No Prog ni Ejec</v>
      </c>
      <c r="CL169" s="786" t="str">
        <f t="shared" ref="CL169" si="416">IF(AND(BW169=0,BY169=0),"No Prog ni Ejec",IF(BW169=0,CONCATENATE("No Prog, Ejec=  ",BY169),BY169/BW169))</f>
        <v>No Prog ni Ejec</v>
      </c>
      <c r="CM169" s="136"/>
      <c r="CR169" s="125"/>
      <c r="CS169" s="166"/>
      <c r="CT169" s="166"/>
      <c r="CU169" s="166"/>
      <c r="CV169" s="166"/>
      <c r="CW169" s="166"/>
      <c r="CX169" s="166"/>
      <c r="CY169" s="166"/>
      <c r="CZ169" s="166"/>
      <c r="DA169" s="166"/>
      <c r="DB169" s="166"/>
      <c r="DC169" s="166"/>
    </row>
    <row r="170" spans="1:107" s="81" customFormat="1" ht="105" hidden="1" customHeight="1" x14ac:dyDescent="0.2">
      <c r="A170" s="785">
        <v>11200</v>
      </c>
      <c r="B170" s="693" t="s">
        <v>1</v>
      </c>
      <c r="C170" s="693" t="s">
        <v>665</v>
      </c>
      <c r="D170" s="129" t="s">
        <v>1023</v>
      </c>
      <c r="E170" s="129" t="s">
        <v>1023</v>
      </c>
      <c r="F170" s="129"/>
      <c r="G170" s="129"/>
      <c r="H170" s="129"/>
      <c r="I170" s="129"/>
      <c r="J170" s="129"/>
      <c r="K170" s="129"/>
      <c r="L170" s="129"/>
      <c r="M170" s="129"/>
      <c r="N170" s="129"/>
      <c r="O170" s="129"/>
      <c r="P170" s="129"/>
      <c r="Q170" s="693" t="s">
        <v>1136</v>
      </c>
      <c r="R170" s="693" t="s">
        <v>1148</v>
      </c>
      <c r="S170" s="695" t="s">
        <v>111</v>
      </c>
      <c r="T170" s="693" t="s">
        <v>94</v>
      </c>
      <c r="U170" s="693" t="s">
        <v>204</v>
      </c>
      <c r="V170" s="693" t="s">
        <v>204</v>
      </c>
      <c r="W170" s="695" t="s">
        <v>931</v>
      </c>
      <c r="X170" s="724" t="s">
        <v>921</v>
      </c>
      <c r="Y170" s="60" t="s">
        <v>52</v>
      </c>
      <c r="Z170" s="74">
        <v>4</v>
      </c>
      <c r="AA170" s="695" t="s">
        <v>928</v>
      </c>
      <c r="AB170" s="724" t="s">
        <v>920</v>
      </c>
      <c r="AC170" s="691">
        <v>0</v>
      </c>
      <c r="AD170" s="706">
        <v>1</v>
      </c>
      <c r="AE170" s="693" t="s">
        <v>18</v>
      </c>
      <c r="AF170" s="693" t="s">
        <v>24</v>
      </c>
      <c r="AG170" s="693" t="s">
        <v>204</v>
      </c>
      <c r="AH170" s="693" t="s">
        <v>638</v>
      </c>
      <c r="AI170" s="693" t="s">
        <v>1055</v>
      </c>
      <c r="AJ170" s="693" t="s">
        <v>1278</v>
      </c>
      <c r="AK170" s="724" t="s">
        <v>922</v>
      </c>
      <c r="AL170" s="693" t="s">
        <v>40</v>
      </c>
      <c r="AM170" s="66">
        <v>4</v>
      </c>
      <c r="AN170" s="693" t="str">
        <f>+AB170</f>
        <v>Realizar actividades de relacionamiento y rendición de cuentas con actores del sector salud y partes interesadas</v>
      </c>
      <c r="AO170" s="703">
        <f t="shared" si="338"/>
        <v>0</v>
      </c>
      <c r="AP170" s="700" t="s">
        <v>48</v>
      </c>
      <c r="AQ170" s="66">
        <v>1</v>
      </c>
      <c r="AR170" s="693" t="str">
        <f t="shared" si="339"/>
        <v>Realizar actividades de relacionamiento y rendición de cuentas con actores del sector salud y partes interesadas</v>
      </c>
      <c r="AS170" s="691">
        <f>+AO170/4</f>
        <v>0</v>
      </c>
      <c r="AT170" s="491">
        <v>1</v>
      </c>
      <c r="AU170" s="691">
        <v>0</v>
      </c>
      <c r="AV170" s="690">
        <f t="shared" si="340"/>
        <v>1</v>
      </c>
      <c r="AW170" s="690" t="e">
        <f t="shared" si="341"/>
        <v>#DIV/0!</v>
      </c>
      <c r="AX170" s="690">
        <f t="shared" si="342"/>
        <v>0.25</v>
      </c>
      <c r="AY170" s="690" t="e">
        <f t="shared" si="343"/>
        <v>#DIV/0!</v>
      </c>
      <c r="AZ170" s="522" t="s">
        <v>1357</v>
      </c>
      <c r="BA170" s="66">
        <v>1</v>
      </c>
      <c r="BB170" s="693" t="str">
        <f t="shared" si="344"/>
        <v>Realizar actividades de relacionamiento y rendición de cuentas con actores del sector salud y partes interesadas</v>
      </c>
      <c r="BC170" s="691">
        <f>+AO170/4</f>
        <v>0</v>
      </c>
      <c r="BD170" s="716">
        <v>1</v>
      </c>
      <c r="BE170" s="691">
        <v>0</v>
      </c>
      <c r="BF170" s="690">
        <f t="shared" si="345"/>
        <v>1</v>
      </c>
      <c r="BG170" s="690" t="e">
        <f t="shared" si="346"/>
        <v>#DIV/0!</v>
      </c>
      <c r="BH170" s="690">
        <f t="shared" si="347"/>
        <v>0.5</v>
      </c>
      <c r="BI170" s="690" t="e">
        <f t="shared" si="348"/>
        <v>#DIV/0!</v>
      </c>
      <c r="BJ170" s="512" t="s">
        <v>1678</v>
      </c>
      <c r="BK170" s="66">
        <v>1</v>
      </c>
      <c r="BL170" s="693" t="str">
        <f t="shared" si="349"/>
        <v>Realizar actividades de relacionamiento y rendición de cuentas con actores del sector salud y partes interesadas</v>
      </c>
      <c r="BM170" s="691">
        <f>+AO170/4</f>
        <v>0</v>
      </c>
      <c r="BN170" s="695"/>
      <c r="BO170" s="695"/>
      <c r="BP170" s="690">
        <f t="shared" si="350"/>
        <v>0</v>
      </c>
      <c r="BQ170" s="690" t="e">
        <f t="shared" si="351"/>
        <v>#DIV/0!</v>
      </c>
      <c r="BR170" s="690">
        <f t="shared" si="352"/>
        <v>0.5</v>
      </c>
      <c r="BS170" s="690" t="e">
        <f t="shared" si="353"/>
        <v>#DIV/0!</v>
      </c>
      <c r="BT170" s="690"/>
      <c r="BU170" s="66">
        <v>1</v>
      </c>
      <c r="BV170" s="693" t="str">
        <f t="shared" si="354"/>
        <v>Realizar actividades de relacionamiento y rendición de cuentas con actores del sector salud y partes interesadas</v>
      </c>
      <c r="BW170" s="691">
        <f>+AO170/4</f>
        <v>0</v>
      </c>
      <c r="BX170" s="695"/>
      <c r="BY170" s="695"/>
      <c r="BZ170" s="698">
        <f t="shared" si="355"/>
        <v>0</v>
      </c>
      <c r="CA170" s="698" t="e">
        <f t="shared" si="356"/>
        <v>#DIV/0!</v>
      </c>
      <c r="CB170" s="698">
        <f t="shared" si="357"/>
        <v>0.5</v>
      </c>
      <c r="CC170" s="698" t="e">
        <f t="shared" si="358"/>
        <v>#DIV/0!</v>
      </c>
      <c r="CD170" s="698"/>
      <c r="CE170" s="697">
        <f t="shared" si="330"/>
        <v>1</v>
      </c>
      <c r="CF170" s="697" t="str">
        <f t="shared" si="331"/>
        <v>No Prog ni Ejec</v>
      </c>
      <c r="CG170" s="697">
        <f t="shared" si="332"/>
        <v>1</v>
      </c>
      <c r="CH170" s="697" t="str">
        <f t="shared" si="333"/>
        <v>No Prog ni Ejec</v>
      </c>
      <c r="CI170" s="697">
        <f t="shared" si="334"/>
        <v>0</v>
      </c>
      <c r="CJ170" s="697" t="str">
        <f t="shared" si="335"/>
        <v>No Prog ni Ejec</v>
      </c>
      <c r="CK170" s="697">
        <f t="shared" si="336"/>
        <v>0</v>
      </c>
      <c r="CL170" s="786" t="str">
        <f t="shared" si="337"/>
        <v>No Prog ni Ejec</v>
      </c>
      <c r="CM170" s="136">
        <f t="shared" si="271"/>
        <v>0</v>
      </c>
      <c r="CR170" s="125">
        <v>1</v>
      </c>
      <c r="CX170" s="166">
        <v>7</v>
      </c>
    </row>
    <row r="171" spans="1:107" s="81" customFormat="1" ht="102.75" hidden="1" customHeight="1" x14ac:dyDescent="0.2">
      <c r="A171" s="785">
        <v>11700</v>
      </c>
      <c r="B171" s="693" t="s">
        <v>14</v>
      </c>
      <c r="C171" s="693" t="s">
        <v>1033</v>
      </c>
      <c r="D171" s="129"/>
      <c r="E171" s="129"/>
      <c r="F171" s="129"/>
      <c r="G171" s="129"/>
      <c r="H171" s="129"/>
      <c r="I171" s="129"/>
      <c r="J171" s="129"/>
      <c r="K171" s="129" t="s">
        <v>1023</v>
      </c>
      <c r="L171" s="129" t="s">
        <v>1023</v>
      </c>
      <c r="M171" s="129"/>
      <c r="N171" s="129"/>
      <c r="O171" s="129"/>
      <c r="P171" s="129"/>
      <c r="Q171" s="693" t="s">
        <v>204</v>
      </c>
      <c r="R171" s="693" t="s">
        <v>204</v>
      </c>
      <c r="S171" s="695" t="s">
        <v>238</v>
      </c>
      <c r="T171" s="693" t="s">
        <v>94</v>
      </c>
      <c r="U171" s="693" t="s">
        <v>204</v>
      </c>
      <c r="V171" s="693" t="s">
        <v>204</v>
      </c>
      <c r="W171" s="695" t="s">
        <v>878</v>
      </c>
      <c r="X171" s="724" t="s">
        <v>1030</v>
      </c>
      <c r="Y171" s="716" t="s">
        <v>391</v>
      </c>
      <c r="Z171" s="74">
        <v>11</v>
      </c>
      <c r="AA171" s="695" t="s">
        <v>869</v>
      </c>
      <c r="AB171" s="724" t="s">
        <v>1024</v>
      </c>
      <c r="AC171" s="691">
        <v>0</v>
      </c>
      <c r="AD171" s="706">
        <v>1</v>
      </c>
      <c r="AE171" s="693" t="s">
        <v>16</v>
      </c>
      <c r="AF171" s="693" t="s">
        <v>21</v>
      </c>
      <c r="AG171" s="693" t="s">
        <v>204</v>
      </c>
      <c r="AH171" s="693" t="s">
        <v>638</v>
      </c>
      <c r="AI171" s="693" t="s">
        <v>77</v>
      </c>
      <c r="AJ171" s="693" t="s">
        <v>204</v>
      </c>
      <c r="AK171" s="724" t="s">
        <v>1027</v>
      </c>
      <c r="AL171" s="693" t="s">
        <v>43</v>
      </c>
      <c r="AM171" s="74">
        <v>11</v>
      </c>
      <c r="AN171" s="693" t="str">
        <f t="shared" ref="AN171:AN178" si="417">+AB171</f>
        <v>Enviar solicitud escrita mensualmente a cada Director, Subdirector y Jefe de Oficina, desde Talento Humano, con el fin de que indiquen los cargos vacantes a proveer</v>
      </c>
      <c r="AO171" s="703">
        <f t="shared" si="338"/>
        <v>0</v>
      </c>
      <c r="AP171" s="700" t="s">
        <v>48</v>
      </c>
      <c r="AQ171" s="67">
        <v>2</v>
      </c>
      <c r="AR171" s="693" t="str">
        <f t="shared" si="339"/>
        <v>Enviar solicitud escrita mensualmente a cada Director, Subdirector y Jefe de Oficina, desde Talento Humano, con el fin de que indiquen los cargos vacantes a proveer</v>
      </c>
      <c r="AS171" s="691">
        <f t="shared" ref="AS171:AS178" si="418">+AO171/4</f>
        <v>0</v>
      </c>
      <c r="AT171" s="491">
        <v>0</v>
      </c>
      <c r="AU171" s="709">
        <v>0</v>
      </c>
      <c r="AV171" s="690">
        <f t="shared" si="340"/>
        <v>0</v>
      </c>
      <c r="AW171" s="690" t="e">
        <f t="shared" si="341"/>
        <v>#DIV/0!</v>
      </c>
      <c r="AX171" s="690">
        <f t="shared" si="342"/>
        <v>0</v>
      </c>
      <c r="AY171" s="690" t="e">
        <f t="shared" si="343"/>
        <v>#DIV/0!</v>
      </c>
      <c r="AZ171" s="490" t="s">
        <v>1353</v>
      </c>
      <c r="BA171" s="67">
        <v>3</v>
      </c>
      <c r="BB171" s="693" t="str">
        <f t="shared" si="344"/>
        <v>Enviar solicitud escrita mensualmente a cada Director, Subdirector y Jefe de Oficina, desde Talento Humano, con el fin de que indiquen los cargos vacantes a proveer</v>
      </c>
      <c r="BC171" s="691">
        <f t="shared" ref="BC171:BC178" si="419">+AO171/4</f>
        <v>0</v>
      </c>
      <c r="BD171" s="716">
        <v>1</v>
      </c>
      <c r="BE171" s="691">
        <v>0</v>
      </c>
      <c r="BF171" s="690">
        <f t="shared" si="345"/>
        <v>0.33333333333333331</v>
      </c>
      <c r="BG171" s="690" t="e">
        <f t="shared" si="346"/>
        <v>#DIV/0!</v>
      </c>
      <c r="BH171" s="690">
        <f t="shared" si="347"/>
        <v>9.0909090909090912E-2</v>
      </c>
      <c r="BI171" s="690" t="e">
        <f t="shared" si="348"/>
        <v>#DIV/0!</v>
      </c>
      <c r="BJ171" s="516" t="s">
        <v>1673</v>
      </c>
      <c r="BK171" s="67">
        <v>3</v>
      </c>
      <c r="BL171" s="693" t="str">
        <f t="shared" si="349"/>
        <v>Enviar solicitud escrita mensualmente a cada Director, Subdirector y Jefe de Oficina, desde Talento Humano, con el fin de que indiquen los cargos vacantes a proveer</v>
      </c>
      <c r="BM171" s="691">
        <f t="shared" ref="BM171:BM178" si="420">+AO171/4</f>
        <v>0</v>
      </c>
      <c r="BN171" s="695"/>
      <c r="BO171" s="695"/>
      <c r="BP171" s="690">
        <f t="shared" si="350"/>
        <v>0</v>
      </c>
      <c r="BQ171" s="690" t="e">
        <f t="shared" si="351"/>
        <v>#DIV/0!</v>
      </c>
      <c r="BR171" s="690">
        <f t="shared" si="352"/>
        <v>9.0909090909090912E-2</v>
      </c>
      <c r="BS171" s="690" t="e">
        <f t="shared" si="353"/>
        <v>#DIV/0!</v>
      </c>
      <c r="BT171" s="690"/>
      <c r="BU171" s="67">
        <v>3</v>
      </c>
      <c r="BV171" s="693" t="str">
        <f t="shared" si="354"/>
        <v>Enviar solicitud escrita mensualmente a cada Director, Subdirector y Jefe de Oficina, desde Talento Humano, con el fin de que indiquen los cargos vacantes a proveer</v>
      </c>
      <c r="BW171" s="691">
        <f t="shared" ref="BW171:BW178" si="421">+AO171/4</f>
        <v>0</v>
      </c>
      <c r="BX171" s="695"/>
      <c r="BY171" s="695"/>
      <c r="BZ171" s="698">
        <f t="shared" si="355"/>
        <v>0</v>
      </c>
      <c r="CA171" s="698" t="e">
        <f t="shared" si="356"/>
        <v>#DIV/0!</v>
      </c>
      <c r="CB171" s="698">
        <f t="shared" si="357"/>
        <v>9.0909090909090912E-2</v>
      </c>
      <c r="CC171" s="698" t="e">
        <f t="shared" si="358"/>
        <v>#DIV/0!</v>
      </c>
      <c r="CD171" s="698"/>
      <c r="CE171" s="697">
        <f t="shared" si="330"/>
        <v>0</v>
      </c>
      <c r="CF171" s="697" t="str">
        <f t="shared" si="331"/>
        <v>No Prog ni Ejec</v>
      </c>
      <c r="CG171" s="697">
        <f t="shared" si="332"/>
        <v>0.33333333333333331</v>
      </c>
      <c r="CH171" s="697" t="str">
        <f t="shared" si="333"/>
        <v>No Prog ni Ejec</v>
      </c>
      <c r="CI171" s="697">
        <f t="shared" si="334"/>
        <v>0</v>
      </c>
      <c r="CJ171" s="697" t="str">
        <f t="shared" si="335"/>
        <v>No Prog ni Ejec</v>
      </c>
      <c r="CK171" s="697">
        <f t="shared" si="336"/>
        <v>0</v>
      </c>
      <c r="CL171" s="786" t="str">
        <f t="shared" si="337"/>
        <v>No Prog ni Ejec</v>
      </c>
      <c r="CM171" s="136">
        <f t="shared" si="271"/>
        <v>0</v>
      </c>
    </row>
    <row r="172" spans="1:107" s="81" customFormat="1" ht="102" hidden="1" customHeight="1" x14ac:dyDescent="0.2">
      <c r="A172" s="785">
        <v>11700</v>
      </c>
      <c r="B172" s="693" t="s">
        <v>14</v>
      </c>
      <c r="C172" s="693" t="s">
        <v>1033</v>
      </c>
      <c r="D172" s="129"/>
      <c r="E172" s="129"/>
      <c r="F172" s="129"/>
      <c r="G172" s="129"/>
      <c r="H172" s="129"/>
      <c r="I172" s="129"/>
      <c r="J172" s="129"/>
      <c r="K172" s="129" t="s">
        <v>1023</v>
      </c>
      <c r="L172" s="129" t="s">
        <v>1023</v>
      </c>
      <c r="M172" s="129"/>
      <c r="N172" s="129"/>
      <c r="O172" s="129"/>
      <c r="P172" s="129"/>
      <c r="Q172" s="693" t="s">
        <v>204</v>
      </c>
      <c r="R172" s="693" t="s">
        <v>204</v>
      </c>
      <c r="S172" s="695" t="s">
        <v>238</v>
      </c>
      <c r="T172" s="693" t="s">
        <v>94</v>
      </c>
      <c r="U172" s="693" t="s">
        <v>204</v>
      </c>
      <c r="V172" s="693" t="s">
        <v>204</v>
      </c>
      <c r="W172" s="695" t="s">
        <v>879</v>
      </c>
      <c r="X172" s="724" t="s">
        <v>1031</v>
      </c>
      <c r="Y172" s="716" t="s">
        <v>51</v>
      </c>
      <c r="Z172" s="127">
        <v>1</v>
      </c>
      <c r="AA172" s="695" t="s">
        <v>870</v>
      </c>
      <c r="AB172" s="724" t="s">
        <v>1025</v>
      </c>
      <c r="AC172" s="691">
        <v>0</v>
      </c>
      <c r="AD172" s="706">
        <v>1</v>
      </c>
      <c r="AE172" s="693" t="s">
        <v>16</v>
      </c>
      <c r="AF172" s="693" t="s">
        <v>21</v>
      </c>
      <c r="AG172" s="693" t="s">
        <v>204</v>
      </c>
      <c r="AH172" s="693" t="s">
        <v>638</v>
      </c>
      <c r="AI172" s="693" t="s">
        <v>77</v>
      </c>
      <c r="AJ172" s="693" t="s">
        <v>1302</v>
      </c>
      <c r="AK172" s="724" t="s">
        <v>1028</v>
      </c>
      <c r="AL172" s="693" t="s">
        <v>43</v>
      </c>
      <c r="AM172" s="127">
        <v>1</v>
      </c>
      <c r="AN172" s="693" t="str">
        <f t="shared" si="417"/>
        <v>Realizar nombramientos de acuerdo con los requerimientos de cada dependencia donde haya vacantes</v>
      </c>
      <c r="AO172" s="703">
        <f t="shared" si="338"/>
        <v>0</v>
      </c>
      <c r="AP172" s="700" t="s">
        <v>48</v>
      </c>
      <c r="AQ172" s="706">
        <v>0.25</v>
      </c>
      <c r="AR172" s="693" t="str">
        <f t="shared" si="339"/>
        <v>Realizar nombramientos de acuerdo con los requerimientos de cada dependencia donde haya vacantes</v>
      </c>
      <c r="AS172" s="691">
        <f t="shared" si="418"/>
        <v>0</v>
      </c>
      <c r="AT172" s="496">
        <f>(8/8)*0.25</f>
        <v>0.25</v>
      </c>
      <c r="AU172" s="709">
        <v>0</v>
      </c>
      <c r="AV172" s="690">
        <f t="shared" si="340"/>
        <v>1</v>
      </c>
      <c r="AW172" s="690" t="e">
        <f t="shared" si="341"/>
        <v>#DIV/0!</v>
      </c>
      <c r="AX172" s="690">
        <f t="shared" si="342"/>
        <v>0.25</v>
      </c>
      <c r="AY172" s="690" t="e">
        <f t="shared" si="343"/>
        <v>#DIV/0!</v>
      </c>
      <c r="AZ172" s="490" t="s">
        <v>1624</v>
      </c>
      <c r="BA172" s="706">
        <v>0.25</v>
      </c>
      <c r="BB172" s="693" t="str">
        <f t="shared" si="344"/>
        <v>Realizar nombramientos de acuerdo con los requerimientos de cada dependencia donde haya vacantes</v>
      </c>
      <c r="BC172" s="691">
        <f t="shared" si="419"/>
        <v>0</v>
      </c>
      <c r="BD172" s="515">
        <f>(11/11)*0.25</f>
        <v>0.25</v>
      </c>
      <c r="BE172" s="691">
        <v>0</v>
      </c>
      <c r="BF172" s="690">
        <f t="shared" si="345"/>
        <v>1</v>
      </c>
      <c r="BG172" s="690" t="e">
        <f t="shared" si="346"/>
        <v>#DIV/0!</v>
      </c>
      <c r="BH172" s="690">
        <f t="shared" si="347"/>
        <v>0.5</v>
      </c>
      <c r="BI172" s="690" t="e">
        <f t="shared" si="348"/>
        <v>#DIV/0!</v>
      </c>
      <c r="BJ172" s="516" t="s">
        <v>1674</v>
      </c>
      <c r="BK172" s="706">
        <v>0.25</v>
      </c>
      <c r="BL172" s="693" t="str">
        <f t="shared" si="349"/>
        <v>Realizar nombramientos de acuerdo con los requerimientos de cada dependencia donde haya vacantes</v>
      </c>
      <c r="BM172" s="691">
        <f t="shared" si="420"/>
        <v>0</v>
      </c>
      <c r="BN172" s="695"/>
      <c r="BO172" s="695"/>
      <c r="BP172" s="690">
        <f t="shared" si="350"/>
        <v>0</v>
      </c>
      <c r="BQ172" s="690" t="e">
        <f t="shared" si="351"/>
        <v>#DIV/0!</v>
      </c>
      <c r="BR172" s="690">
        <f t="shared" si="352"/>
        <v>0.5</v>
      </c>
      <c r="BS172" s="690" t="e">
        <f t="shared" si="353"/>
        <v>#DIV/0!</v>
      </c>
      <c r="BT172" s="690"/>
      <c r="BU172" s="706">
        <v>0.25</v>
      </c>
      <c r="BV172" s="693" t="str">
        <f t="shared" si="354"/>
        <v>Realizar nombramientos de acuerdo con los requerimientos de cada dependencia donde haya vacantes</v>
      </c>
      <c r="BW172" s="691">
        <f t="shared" si="421"/>
        <v>0</v>
      </c>
      <c r="BX172" s="695"/>
      <c r="BY172" s="695"/>
      <c r="BZ172" s="698">
        <f t="shared" si="355"/>
        <v>0</v>
      </c>
      <c r="CA172" s="698" t="e">
        <f t="shared" si="356"/>
        <v>#DIV/0!</v>
      </c>
      <c r="CB172" s="698">
        <f t="shared" si="357"/>
        <v>0.5</v>
      </c>
      <c r="CC172" s="698" t="e">
        <f t="shared" si="358"/>
        <v>#DIV/0!</v>
      </c>
      <c r="CD172" s="698"/>
      <c r="CE172" s="697">
        <f t="shared" si="330"/>
        <v>1</v>
      </c>
      <c r="CF172" s="697" t="str">
        <f t="shared" si="331"/>
        <v>No Prog ni Ejec</v>
      </c>
      <c r="CG172" s="697">
        <f t="shared" si="332"/>
        <v>1</v>
      </c>
      <c r="CH172" s="697" t="str">
        <f t="shared" si="333"/>
        <v>No Prog ni Ejec</v>
      </c>
      <c r="CI172" s="697">
        <f t="shared" si="334"/>
        <v>0</v>
      </c>
      <c r="CJ172" s="697" t="str">
        <f t="shared" si="335"/>
        <v>No Prog ni Ejec</v>
      </c>
      <c r="CK172" s="697">
        <f t="shared" si="336"/>
        <v>0</v>
      </c>
      <c r="CL172" s="786" t="str">
        <f t="shared" si="337"/>
        <v>No Prog ni Ejec</v>
      </c>
      <c r="CM172" s="136">
        <f t="shared" si="271"/>
        <v>0</v>
      </c>
    </row>
    <row r="173" spans="1:107" s="81" customFormat="1" ht="99" hidden="1" customHeight="1" x14ac:dyDescent="0.2">
      <c r="A173" s="785">
        <v>11700</v>
      </c>
      <c r="B173" s="693" t="s">
        <v>14</v>
      </c>
      <c r="C173" s="693" t="s">
        <v>1033</v>
      </c>
      <c r="D173" s="129"/>
      <c r="E173" s="129"/>
      <c r="F173" s="129"/>
      <c r="G173" s="129"/>
      <c r="H173" s="129"/>
      <c r="I173" s="129"/>
      <c r="J173" s="129"/>
      <c r="K173" s="129" t="s">
        <v>1023</v>
      </c>
      <c r="L173" s="129" t="s">
        <v>1023</v>
      </c>
      <c r="M173" s="129"/>
      <c r="N173" s="129"/>
      <c r="O173" s="129"/>
      <c r="P173" s="129"/>
      <c r="Q173" s="693" t="s">
        <v>204</v>
      </c>
      <c r="R173" s="693" t="s">
        <v>204</v>
      </c>
      <c r="S173" s="695" t="s">
        <v>238</v>
      </c>
      <c r="T173" s="693" t="s">
        <v>94</v>
      </c>
      <c r="U173" s="693" t="s">
        <v>204</v>
      </c>
      <c r="V173" s="693" t="s">
        <v>204</v>
      </c>
      <c r="W173" s="695" t="s">
        <v>880</v>
      </c>
      <c r="X173" s="724" t="s">
        <v>1032</v>
      </c>
      <c r="Y173" s="716" t="s">
        <v>51</v>
      </c>
      <c r="Z173" s="127">
        <v>1</v>
      </c>
      <c r="AA173" s="695" t="s">
        <v>871</v>
      </c>
      <c r="AB173" s="724" t="s">
        <v>1026</v>
      </c>
      <c r="AC173" s="691">
        <v>0</v>
      </c>
      <c r="AD173" s="706">
        <v>1</v>
      </c>
      <c r="AE173" s="693" t="s">
        <v>16</v>
      </c>
      <c r="AF173" s="693" t="s">
        <v>21</v>
      </c>
      <c r="AG173" s="693" t="s">
        <v>204</v>
      </c>
      <c r="AH173" s="693" t="s">
        <v>638</v>
      </c>
      <c r="AI173" s="693" t="s">
        <v>77</v>
      </c>
      <c r="AJ173" s="693" t="s">
        <v>1302</v>
      </c>
      <c r="AK173" s="724" t="s">
        <v>1029</v>
      </c>
      <c r="AL173" s="693" t="s">
        <v>43</v>
      </c>
      <c r="AM173" s="127">
        <v>1</v>
      </c>
      <c r="AN173" s="693" t="str">
        <f t="shared" si="417"/>
        <v>Realizar posesiones de acuerdo con los nombramientos realizados</v>
      </c>
      <c r="AO173" s="703">
        <f t="shared" si="338"/>
        <v>0</v>
      </c>
      <c r="AP173" s="700" t="s">
        <v>48</v>
      </c>
      <c r="AQ173" s="706">
        <v>0.25</v>
      </c>
      <c r="AR173" s="693" t="str">
        <f t="shared" si="339"/>
        <v>Realizar posesiones de acuerdo con los nombramientos realizados</v>
      </c>
      <c r="AS173" s="691">
        <f t="shared" si="418"/>
        <v>0</v>
      </c>
      <c r="AT173" s="496">
        <f>(7/7)*0.25</f>
        <v>0.25</v>
      </c>
      <c r="AU173" s="709">
        <v>0</v>
      </c>
      <c r="AV173" s="690">
        <f t="shared" si="340"/>
        <v>1</v>
      </c>
      <c r="AW173" s="690" t="e">
        <f t="shared" si="341"/>
        <v>#DIV/0!</v>
      </c>
      <c r="AX173" s="690">
        <f t="shared" si="342"/>
        <v>0.25</v>
      </c>
      <c r="AY173" s="690" t="e">
        <f t="shared" si="343"/>
        <v>#DIV/0!</v>
      </c>
      <c r="AZ173" s="490" t="s">
        <v>1625</v>
      </c>
      <c r="BA173" s="706">
        <v>0.25</v>
      </c>
      <c r="BB173" s="693" t="str">
        <f t="shared" si="344"/>
        <v>Realizar posesiones de acuerdo con los nombramientos realizados</v>
      </c>
      <c r="BC173" s="691">
        <f t="shared" si="419"/>
        <v>0</v>
      </c>
      <c r="BD173" s="515">
        <f>(11/11)*0.25</f>
        <v>0.25</v>
      </c>
      <c r="BE173" s="691">
        <v>0</v>
      </c>
      <c r="BF173" s="690">
        <f t="shared" si="345"/>
        <v>1</v>
      </c>
      <c r="BG173" s="690" t="e">
        <f t="shared" si="346"/>
        <v>#DIV/0!</v>
      </c>
      <c r="BH173" s="690">
        <f t="shared" si="347"/>
        <v>0.5</v>
      </c>
      <c r="BI173" s="690" t="e">
        <f t="shared" si="348"/>
        <v>#DIV/0!</v>
      </c>
      <c r="BJ173" s="516" t="s">
        <v>1675</v>
      </c>
      <c r="BK173" s="706">
        <v>0.25</v>
      </c>
      <c r="BL173" s="693" t="str">
        <f t="shared" si="349"/>
        <v>Realizar posesiones de acuerdo con los nombramientos realizados</v>
      </c>
      <c r="BM173" s="691">
        <f t="shared" si="420"/>
        <v>0</v>
      </c>
      <c r="BN173" s="695"/>
      <c r="BO173" s="695"/>
      <c r="BP173" s="690">
        <f t="shared" si="350"/>
        <v>0</v>
      </c>
      <c r="BQ173" s="690" t="e">
        <f t="shared" si="351"/>
        <v>#DIV/0!</v>
      </c>
      <c r="BR173" s="690">
        <f t="shared" si="352"/>
        <v>0.5</v>
      </c>
      <c r="BS173" s="690" t="e">
        <f t="shared" si="353"/>
        <v>#DIV/0!</v>
      </c>
      <c r="BT173" s="690"/>
      <c r="BU173" s="706">
        <v>0.25</v>
      </c>
      <c r="BV173" s="693" t="str">
        <f t="shared" si="354"/>
        <v>Realizar posesiones de acuerdo con los nombramientos realizados</v>
      </c>
      <c r="BW173" s="691">
        <f t="shared" si="421"/>
        <v>0</v>
      </c>
      <c r="BX173" s="695"/>
      <c r="BY173" s="695"/>
      <c r="BZ173" s="698">
        <f t="shared" si="355"/>
        <v>0</v>
      </c>
      <c r="CA173" s="698" t="e">
        <f t="shared" si="356"/>
        <v>#DIV/0!</v>
      </c>
      <c r="CB173" s="698">
        <f t="shared" si="357"/>
        <v>0.5</v>
      </c>
      <c r="CC173" s="698" t="e">
        <f t="shared" si="358"/>
        <v>#DIV/0!</v>
      </c>
      <c r="CD173" s="698"/>
      <c r="CE173" s="697">
        <f t="shared" si="330"/>
        <v>1</v>
      </c>
      <c r="CF173" s="697" t="str">
        <f t="shared" si="331"/>
        <v>No Prog ni Ejec</v>
      </c>
      <c r="CG173" s="697">
        <f t="shared" si="332"/>
        <v>1</v>
      </c>
      <c r="CH173" s="697" t="str">
        <f t="shared" si="333"/>
        <v>No Prog ni Ejec</v>
      </c>
      <c r="CI173" s="697">
        <f t="shared" si="334"/>
        <v>0</v>
      </c>
      <c r="CJ173" s="697" t="str">
        <f t="shared" si="335"/>
        <v>No Prog ni Ejec</v>
      </c>
      <c r="CK173" s="697">
        <f t="shared" si="336"/>
        <v>0</v>
      </c>
      <c r="CL173" s="786" t="str">
        <f t="shared" si="337"/>
        <v>No Prog ni Ejec</v>
      </c>
      <c r="CM173" s="136">
        <f t="shared" si="271"/>
        <v>0</v>
      </c>
    </row>
    <row r="174" spans="1:107" s="81" customFormat="1" ht="102" hidden="1" customHeight="1" x14ac:dyDescent="0.2">
      <c r="A174" s="785">
        <v>11700</v>
      </c>
      <c r="B174" s="693" t="s">
        <v>14</v>
      </c>
      <c r="C174" s="693" t="s">
        <v>1034</v>
      </c>
      <c r="D174" s="129"/>
      <c r="E174" s="129"/>
      <c r="F174" s="129" t="s">
        <v>1023</v>
      </c>
      <c r="G174" s="129"/>
      <c r="H174" s="129"/>
      <c r="I174" s="129"/>
      <c r="J174" s="129"/>
      <c r="K174" s="129"/>
      <c r="L174" s="129"/>
      <c r="M174" s="129"/>
      <c r="N174" s="129"/>
      <c r="O174" s="129"/>
      <c r="P174" s="129"/>
      <c r="Q174" s="693" t="s">
        <v>204</v>
      </c>
      <c r="R174" s="693" t="s">
        <v>204</v>
      </c>
      <c r="S174" s="695" t="s">
        <v>238</v>
      </c>
      <c r="T174" s="693" t="s">
        <v>94</v>
      </c>
      <c r="U174" s="693" t="s">
        <v>204</v>
      </c>
      <c r="V174" s="693" t="s">
        <v>204</v>
      </c>
      <c r="W174" s="695" t="s">
        <v>881</v>
      </c>
      <c r="X174" s="724" t="s">
        <v>1035</v>
      </c>
      <c r="Y174" s="716" t="s">
        <v>51</v>
      </c>
      <c r="Z174" s="926">
        <v>0.25</v>
      </c>
      <c r="AA174" s="695" t="s">
        <v>872</v>
      </c>
      <c r="AB174" s="724" t="s">
        <v>1036</v>
      </c>
      <c r="AC174" s="691">
        <v>12823603315.700001</v>
      </c>
      <c r="AD174" s="706">
        <v>1</v>
      </c>
      <c r="AE174" s="693" t="s">
        <v>17</v>
      </c>
      <c r="AF174" s="693" t="s">
        <v>288</v>
      </c>
      <c r="AG174" s="693" t="s">
        <v>204</v>
      </c>
      <c r="AH174" s="693" t="s">
        <v>638</v>
      </c>
      <c r="AI174" s="693" t="s">
        <v>76</v>
      </c>
      <c r="AJ174" s="693" t="s">
        <v>1303</v>
      </c>
      <c r="AK174" s="724" t="s">
        <v>1037</v>
      </c>
      <c r="AL174" s="693" t="s">
        <v>204</v>
      </c>
      <c r="AM174" s="926">
        <f>+Z174</f>
        <v>0.25</v>
      </c>
      <c r="AN174" s="693" t="str">
        <f t="shared" si="417"/>
        <v>Realizar el seguimiento a la ejecución del Plan de Adquisiciones</v>
      </c>
      <c r="AO174" s="159">
        <f t="shared" si="338"/>
        <v>12823603315.700001</v>
      </c>
      <c r="AP174" s="700" t="s">
        <v>46</v>
      </c>
      <c r="AQ174" s="706">
        <v>0.25</v>
      </c>
      <c r="AR174" s="693" t="str">
        <f t="shared" si="339"/>
        <v>Realizar el seguimiento a la ejecución del Plan de Adquisiciones</v>
      </c>
      <c r="AS174" s="691">
        <f t="shared" si="418"/>
        <v>3205900828.9250002</v>
      </c>
      <c r="AT174" s="496">
        <f>(94/158)*25%</f>
        <v>0.14873417721518986</v>
      </c>
      <c r="AU174" s="709">
        <v>4187490186</v>
      </c>
      <c r="AV174" s="690">
        <f t="shared" si="340"/>
        <v>0.59493670886075944</v>
      </c>
      <c r="AW174" s="690">
        <f t="shared" si="341"/>
        <v>1.3061820715783481</v>
      </c>
      <c r="AX174" s="690">
        <f t="shared" si="342"/>
        <v>0.59493670886075944</v>
      </c>
      <c r="AY174" s="690">
        <f t="shared" si="343"/>
        <v>0.32654551789458702</v>
      </c>
      <c r="AZ174" s="490" t="s">
        <v>1626</v>
      </c>
      <c r="BA174" s="706">
        <v>0.25</v>
      </c>
      <c r="BB174" s="693" t="str">
        <f t="shared" si="344"/>
        <v>Realizar el seguimiento a la ejecución del Plan de Adquisiciones</v>
      </c>
      <c r="BC174" s="691">
        <f t="shared" si="419"/>
        <v>3205900828.9250002</v>
      </c>
      <c r="BD174" s="519" t="s">
        <v>204</v>
      </c>
      <c r="BE174" s="691">
        <v>0</v>
      </c>
      <c r="BF174" s="690" t="e">
        <f t="shared" si="345"/>
        <v>#VALUE!</v>
      </c>
      <c r="BG174" s="690">
        <f t="shared" si="346"/>
        <v>0</v>
      </c>
      <c r="BH174" s="690" t="e">
        <f t="shared" si="347"/>
        <v>#VALUE!</v>
      </c>
      <c r="BI174" s="690">
        <f t="shared" si="348"/>
        <v>0.32654551789458702</v>
      </c>
      <c r="BJ174" s="516"/>
      <c r="BK174" s="706">
        <v>0.25</v>
      </c>
      <c r="BL174" s="693" t="str">
        <f t="shared" si="349"/>
        <v>Realizar el seguimiento a la ejecución del Plan de Adquisiciones</v>
      </c>
      <c r="BM174" s="691">
        <f t="shared" si="420"/>
        <v>3205900828.9250002</v>
      </c>
      <c r="BN174" s="695"/>
      <c r="BO174" s="695"/>
      <c r="BP174" s="690">
        <f t="shared" si="350"/>
        <v>0</v>
      </c>
      <c r="BQ174" s="690">
        <f t="shared" si="351"/>
        <v>0</v>
      </c>
      <c r="BR174" s="690" t="e">
        <f t="shared" si="352"/>
        <v>#VALUE!</v>
      </c>
      <c r="BS174" s="690">
        <f t="shared" si="353"/>
        <v>0.32654551789458702</v>
      </c>
      <c r="BT174" s="690"/>
      <c r="BU174" s="706">
        <v>0.25</v>
      </c>
      <c r="BV174" s="693" t="str">
        <f t="shared" si="354"/>
        <v>Realizar el seguimiento a la ejecución del Plan de Adquisiciones</v>
      </c>
      <c r="BW174" s="691">
        <f t="shared" si="421"/>
        <v>3205900828.9250002</v>
      </c>
      <c r="BX174" s="695"/>
      <c r="BY174" s="695"/>
      <c r="BZ174" s="698">
        <f t="shared" si="355"/>
        <v>0</v>
      </c>
      <c r="CA174" s="698">
        <f t="shared" si="356"/>
        <v>0</v>
      </c>
      <c r="CB174" s="698" t="e">
        <f t="shared" si="357"/>
        <v>#VALUE!</v>
      </c>
      <c r="CC174" s="698">
        <f t="shared" si="358"/>
        <v>0.32654551789458702</v>
      </c>
      <c r="CD174" s="698"/>
      <c r="CE174" s="697">
        <f t="shared" si="330"/>
        <v>0.59493670886075944</v>
      </c>
      <c r="CF174" s="697">
        <f t="shared" si="331"/>
        <v>1.3061820715783481</v>
      </c>
      <c r="CG174" s="697" t="e">
        <f t="shared" si="332"/>
        <v>#VALUE!</v>
      </c>
      <c r="CH174" s="697">
        <f t="shared" si="333"/>
        <v>0</v>
      </c>
      <c r="CI174" s="697">
        <f t="shared" si="334"/>
        <v>0</v>
      </c>
      <c r="CJ174" s="697">
        <f t="shared" si="335"/>
        <v>0</v>
      </c>
      <c r="CK174" s="697">
        <f t="shared" si="336"/>
        <v>0</v>
      </c>
      <c r="CL174" s="786">
        <f t="shared" si="337"/>
        <v>0</v>
      </c>
      <c r="CM174" s="136">
        <f t="shared" si="271"/>
        <v>0</v>
      </c>
    </row>
    <row r="175" spans="1:107" s="81" customFormat="1" ht="102" hidden="1" customHeight="1" x14ac:dyDescent="0.2">
      <c r="A175" s="785">
        <v>11700</v>
      </c>
      <c r="B175" s="693" t="s">
        <v>14</v>
      </c>
      <c r="C175" s="693" t="s">
        <v>1034</v>
      </c>
      <c r="D175" s="129"/>
      <c r="E175" s="129"/>
      <c r="F175" s="129" t="s">
        <v>1023</v>
      </c>
      <c r="G175" s="129"/>
      <c r="H175" s="129"/>
      <c r="I175" s="129"/>
      <c r="J175" s="129"/>
      <c r="K175" s="129"/>
      <c r="L175" s="129"/>
      <c r="M175" s="129"/>
      <c r="N175" s="129"/>
      <c r="O175" s="129"/>
      <c r="P175" s="129"/>
      <c r="Q175" s="693" t="s">
        <v>204</v>
      </c>
      <c r="R175" s="693" t="s">
        <v>204</v>
      </c>
      <c r="S175" s="695" t="s">
        <v>238</v>
      </c>
      <c r="T175" s="693" t="s">
        <v>94</v>
      </c>
      <c r="U175" s="693" t="s">
        <v>204</v>
      </c>
      <c r="V175" s="693" t="s">
        <v>204</v>
      </c>
      <c r="W175" s="695" t="s">
        <v>881</v>
      </c>
      <c r="X175" s="724" t="s">
        <v>1035</v>
      </c>
      <c r="Y175" s="716" t="s">
        <v>51</v>
      </c>
      <c r="Z175" s="926">
        <v>0.75</v>
      </c>
      <c r="AA175" s="695" t="s">
        <v>872</v>
      </c>
      <c r="AB175" s="724" t="s">
        <v>1036</v>
      </c>
      <c r="AC175" s="594">
        <v>0</v>
      </c>
      <c r="AD175" s="706">
        <v>1</v>
      </c>
      <c r="AE175" s="693" t="s">
        <v>17</v>
      </c>
      <c r="AF175" s="693" t="s">
        <v>288</v>
      </c>
      <c r="AG175" s="693" t="s">
        <v>204</v>
      </c>
      <c r="AH175" s="693" t="s">
        <v>638</v>
      </c>
      <c r="AI175" s="693" t="s">
        <v>76</v>
      </c>
      <c r="AJ175" s="693" t="s">
        <v>1303</v>
      </c>
      <c r="AK175" s="724" t="s">
        <v>1037</v>
      </c>
      <c r="AL175" s="693" t="s">
        <v>204</v>
      </c>
      <c r="AM175" s="926">
        <f>+Z175</f>
        <v>0.75</v>
      </c>
      <c r="AN175" s="693" t="str">
        <f t="shared" ref="AN175" si="422">+AB175</f>
        <v>Realizar el seguimiento a la ejecución del Plan de Adquisiciones</v>
      </c>
      <c r="AO175" s="647">
        <f t="shared" ref="AO175" si="423">+AC175</f>
        <v>0</v>
      </c>
      <c r="AP175" s="700" t="s">
        <v>46</v>
      </c>
      <c r="AQ175" s="706" t="s">
        <v>204</v>
      </c>
      <c r="AR175" s="693" t="str">
        <f t="shared" ref="AR175" si="424">+AN175</f>
        <v>Realizar el seguimiento a la ejecución del Plan de Adquisiciones</v>
      </c>
      <c r="AS175" s="691">
        <f t="shared" ref="AS175" si="425">+AO175/4</f>
        <v>0</v>
      </c>
      <c r="AT175" s="496"/>
      <c r="AU175" s="709"/>
      <c r="AV175" s="690" t="e">
        <f t="shared" ref="AV175" si="426">+(AT175/AQ175)</f>
        <v>#VALUE!</v>
      </c>
      <c r="AW175" s="690" t="e">
        <f t="shared" ref="AW175" si="427">+(AU175/AS175)</f>
        <v>#DIV/0!</v>
      </c>
      <c r="AX175" s="690">
        <f t="shared" ref="AX175" si="428">+(AT175/AM175)</f>
        <v>0</v>
      </c>
      <c r="AY175" s="690" t="e">
        <f t="shared" ref="AY175" si="429">+(AU175/AO175)</f>
        <v>#DIV/0!</v>
      </c>
      <c r="AZ175" s="490"/>
      <c r="BA175" s="706">
        <v>0.25</v>
      </c>
      <c r="BB175" s="693" t="str">
        <f t="shared" ref="BB175" si="430">+AN175</f>
        <v>Realizar el seguimiento a la ejecución del Plan de Adquisiciones</v>
      </c>
      <c r="BC175" s="691">
        <f t="shared" ref="BC175" si="431">+AO175/4</f>
        <v>0</v>
      </c>
      <c r="BD175" s="519">
        <f>(113/161)*BA175</f>
        <v>0.17546583850931677</v>
      </c>
      <c r="BE175" s="691">
        <v>0</v>
      </c>
      <c r="BF175" s="690">
        <f t="shared" ref="BF175" si="432">+(BD175/BA175)</f>
        <v>0.70186335403726707</v>
      </c>
      <c r="BG175" s="690" t="e">
        <f t="shared" ref="BG175" si="433">+(BE175/BC175)</f>
        <v>#DIV/0!</v>
      </c>
      <c r="BH175" s="690">
        <f t="shared" ref="BH175" si="434">+(BD175+AT175)/AM175</f>
        <v>0.23395445134575568</v>
      </c>
      <c r="BI175" s="690" t="e">
        <f t="shared" ref="BI175" si="435">+(BE175+AU175)/AO175</f>
        <v>#DIV/0!</v>
      </c>
      <c r="BJ175" s="516" t="s">
        <v>1782</v>
      </c>
      <c r="BK175" s="706">
        <v>0.25</v>
      </c>
      <c r="BL175" s="693" t="str">
        <f t="shared" ref="BL175" si="436">+AN175</f>
        <v>Realizar el seguimiento a la ejecución del Plan de Adquisiciones</v>
      </c>
      <c r="BM175" s="691">
        <f t="shared" ref="BM175" si="437">+AO175/4</f>
        <v>0</v>
      </c>
      <c r="BN175" s="695"/>
      <c r="BO175" s="695"/>
      <c r="BP175" s="690">
        <f t="shared" ref="BP175" si="438">+(BN175/BK175)</f>
        <v>0</v>
      </c>
      <c r="BQ175" s="690" t="e">
        <f t="shared" ref="BQ175" si="439">+(BO175/BM175)</f>
        <v>#DIV/0!</v>
      </c>
      <c r="BR175" s="690">
        <f t="shared" ref="BR175" si="440">+(BD175+AT175+BN175)/AM175</f>
        <v>0.23395445134575568</v>
      </c>
      <c r="BS175" s="690" t="e">
        <f t="shared" ref="BS175" si="441">+(BE175+AU175+BO175)/AO175</f>
        <v>#DIV/0!</v>
      </c>
      <c r="BT175" s="690"/>
      <c r="BU175" s="706">
        <v>0.25</v>
      </c>
      <c r="BV175" s="693" t="str">
        <f t="shared" ref="BV175" si="442">+AN175</f>
        <v>Realizar el seguimiento a la ejecución del Plan de Adquisiciones</v>
      </c>
      <c r="BW175" s="691">
        <f t="shared" ref="BW175" si="443">+AO175/4</f>
        <v>0</v>
      </c>
      <c r="BX175" s="695"/>
      <c r="BY175" s="695"/>
      <c r="BZ175" s="698">
        <f t="shared" ref="BZ175" si="444">+(BX175/BU175)</f>
        <v>0</v>
      </c>
      <c r="CA175" s="698" t="e">
        <f t="shared" ref="CA175" si="445">+(BY175/BW175)</f>
        <v>#DIV/0!</v>
      </c>
      <c r="CB175" s="698">
        <f t="shared" ref="CB175" si="446">+(BD175+AT175+BN175+BX175)/AM175</f>
        <v>0.23395445134575568</v>
      </c>
      <c r="CC175" s="698" t="e">
        <f t="shared" ref="CC175" si="447">+(BE175+AU175+BO175+BY175)/AO175</f>
        <v>#DIV/0!</v>
      </c>
      <c r="CD175" s="698"/>
      <c r="CE175" s="697" t="e">
        <f t="shared" ref="CE175" si="448">IF(AND(AQ175=0,AT175=0),"No Prog ni Ejec",IF(AQ175=0,CONCATENATE("No Prog, Ejec=  ",AT175),AT175/AQ175))</f>
        <v>#VALUE!</v>
      </c>
      <c r="CF175" s="697" t="str">
        <f t="shared" ref="CF175" si="449">IF(AND(AS175=0,AU175=0),"No Prog ni Ejec",IF(AS175=0,CONCATENATE("No Prog, Ejec=  ",AU175),AU175/AS175))</f>
        <v>No Prog ni Ejec</v>
      </c>
      <c r="CG175" s="697">
        <f t="shared" ref="CG175" si="450">IF(AND(BA175=0,BD175=0),"No Prog ni Ejec",IF(BA175=0,CONCATENATE("No Prog, Ejec=  ",BD175),BD175/BA175))</f>
        <v>0.70186335403726707</v>
      </c>
      <c r="CH175" s="697" t="str">
        <f t="shared" ref="CH175" si="451">IF(AND(BC175=0,BE175=0),"No Prog ni Ejec",IF(BC175=0,CONCATENATE("No Prog, Ejec=  ",BE175),BE175/BC175))</f>
        <v>No Prog ni Ejec</v>
      </c>
      <c r="CI175" s="697">
        <f t="shared" ref="CI175" si="452">IF(AND(BK175=0,BN175=0),"No Prog ni Ejec",IF(BK175=0,CONCATENATE("No Prog, Ejec=  ",BN175),BN175/BK175))</f>
        <v>0</v>
      </c>
      <c r="CJ175" s="697" t="str">
        <f t="shared" ref="CJ175" si="453">IF(AND(BM175=0,BO175=0),"No Prog ni Ejec",IF(BM175=0,CONCATENATE("No Prog, Ejec=  ",BO175),BO175/BM175))</f>
        <v>No Prog ni Ejec</v>
      </c>
      <c r="CK175" s="697">
        <f t="shared" ref="CK175" si="454">IF(AND(BU175=0,BX175=0),"No Prog ni Ejec",IF(BU175=0,CONCATENATE("No Prog, Ejec=  ",BX175),BX175/BU175))</f>
        <v>0</v>
      </c>
      <c r="CL175" s="786" t="str">
        <f t="shared" ref="CL175" si="455">IF(AND(BW175=0,BY175=0),"No Prog ni Ejec",IF(BW175=0,CONCATENATE("No Prog, Ejec=  ",BY175),BY175/BW175))</f>
        <v>No Prog ni Ejec</v>
      </c>
      <c r="CM175" s="136"/>
    </row>
    <row r="176" spans="1:107" s="81" customFormat="1" ht="89.25" hidden="1" x14ac:dyDescent="0.2">
      <c r="A176" s="785">
        <v>11400</v>
      </c>
      <c r="B176" s="693" t="s">
        <v>12</v>
      </c>
      <c r="C176" s="693" t="s">
        <v>336</v>
      </c>
      <c r="D176" s="129" t="s">
        <v>1023</v>
      </c>
      <c r="E176" s="129"/>
      <c r="F176" s="129"/>
      <c r="G176" s="129"/>
      <c r="H176" s="129"/>
      <c r="I176" s="129"/>
      <c r="J176" s="129"/>
      <c r="K176" s="129"/>
      <c r="L176" s="129"/>
      <c r="M176" s="129"/>
      <c r="N176" s="129"/>
      <c r="O176" s="129"/>
      <c r="P176" s="129"/>
      <c r="Q176" s="693" t="s">
        <v>1135</v>
      </c>
      <c r="R176" s="693" t="s">
        <v>1746</v>
      </c>
      <c r="S176" s="695" t="s">
        <v>68</v>
      </c>
      <c r="T176" s="693" t="s">
        <v>94</v>
      </c>
      <c r="U176" s="693" t="s">
        <v>204</v>
      </c>
      <c r="V176" s="693" t="s">
        <v>204</v>
      </c>
      <c r="W176" s="695" t="s">
        <v>86</v>
      </c>
      <c r="X176" s="724" t="s">
        <v>1068</v>
      </c>
      <c r="Y176" s="716" t="s">
        <v>391</v>
      </c>
      <c r="Z176" s="128">
        <v>1</v>
      </c>
      <c r="AA176" s="695" t="s">
        <v>69</v>
      </c>
      <c r="AB176" s="724" t="s">
        <v>1067</v>
      </c>
      <c r="AC176" s="691">
        <v>0</v>
      </c>
      <c r="AD176" s="706">
        <v>1</v>
      </c>
      <c r="AE176" s="693" t="s">
        <v>17</v>
      </c>
      <c r="AF176" s="693" t="s">
        <v>299</v>
      </c>
      <c r="AG176" s="693" t="s">
        <v>204</v>
      </c>
      <c r="AH176" s="693" t="s">
        <v>638</v>
      </c>
      <c r="AI176" s="693" t="s">
        <v>80</v>
      </c>
      <c r="AJ176" s="693" t="s">
        <v>204</v>
      </c>
      <c r="AK176" s="724" t="s">
        <v>1069</v>
      </c>
      <c r="AL176" s="693" t="s">
        <v>42</v>
      </c>
      <c r="AM176" s="127">
        <v>1</v>
      </c>
      <c r="AN176" s="693" t="str">
        <f t="shared" si="417"/>
        <v xml:space="preserve">Racionalizar el trámite de Solicitud compra de cartera a través del cambio en la Resolución 4373 de 2017 del ministerio de salud </v>
      </c>
      <c r="AO176" s="703">
        <f t="shared" ref="AO176:AO183" si="456">+AC176</f>
        <v>0</v>
      </c>
      <c r="AP176" s="700" t="s">
        <v>46</v>
      </c>
      <c r="AQ176" s="73">
        <v>0</v>
      </c>
      <c r="AR176" s="693" t="str">
        <f t="shared" si="339"/>
        <v xml:space="preserve">Racionalizar el trámite de Solicitud compra de cartera a través del cambio en la Resolución 4373 de 2017 del ministerio de salud </v>
      </c>
      <c r="AS176" s="691">
        <f t="shared" si="418"/>
        <v>0</v>
      </c>
      <c r="AT176" s="695">
        <v>0</v>
      </c>
      <c r="AU176" s="691">
        <v>0</v>
      </c>
      <c r="AV176" s="690" t="e">
        <f t="shared" si="340"/>
        <v>#DIV/0!</v>
      </c>
      <c r="AW176" s="690" t="e">
        <f t="shared" si="341"/>
        <v>#DIV/0!</v>
      </c>
      <c r="AX176" s="690">
        <f t="shared" si="342"/>
        <v>0</v>
      </c>
      <c r="AY176" s="690" t="e">
        <f t="shared" si="343"/>
        <v>#DIV/0!</v>
      </c>
      <c r="AZ176" s="725" t="s">
        <v>1388</v>
      </c>
      <c r="BA176" s="73">
        <v>0</v>
      </c>
      <c r="BB176" s="693" t="str">
        <f t="shared" si="344"/>
        <v xml:space="preserve">Racionalizar el trámite de Solicitud compra de cartera a través del cambio en la Resolución 4373 de 2017 del ministerio de salud </v>
      </c>
      <c r="BC176" s="691">
        <f t="shared" si="419"/>
        <v>0</v>
      </c>
      <c r="BD176" s="716">
        <v>0</v>
      </c>
      <c r="BE176" s="691">
        <v>0</v>
      </c>
      <c r="BF176" s="690" t="e">
        <f t="shared" si="345"/>
        <v>#DIV/0!</v>
      </c>
      <c r="BG176" s="690" t="e">
        <f t="shared" si="346"/>
        <v>#DIV/0!</v>
      </c>
      <c r="BH176" s="690">
        <f t="shared" si="347"/>
        <v>0</v>
      </c>
      <c r="BI176" s="690" t="e">
        <f t="shared" si="348"/>
        <v>#DIV/0!</v>
      </c>
      <c r="BJ176" s="512" t="s">
        <v>1703</v>
      </c>
      <c r="BK176" s="73">
        <v>0</v>
      </c>
      <c r="BL176" s="693" t="str">
        <f t="shared" si="349"/>
        <v xml:space="preserve">Racionalizar el trámite de Solicitud compra de cartera a través del cambio en la Resolución 4373 de 2017 del ministerio de salud </v>
      </c>
      <c r="BM176" s="691">
        <f t="shared" si="420"/>
        <v>0</v>
      </c>
      <c r="BN176" s="695"/>
      <c r="BO176" s="695"/>
      <c r="BP176" s="690" t="e">
        <f t="shared" si="350"/>
        <v>#DIV/0!</v>
      </c>
      <c r="BQ176" s="690" t="e">
        <f t="shared" si="351"/>
        <v>#DIV/0!</v>
      </c>
      <c r="BR176" s="690">
        <f t="shared" si="352"/>
        <v>0</v>
      </c>
      <c r="BS176" s="690" t="e">
        <f t="shared" si="353"/>
        <v>#DIV/0!</v>
      </c>
      <c r="BT176" s="79"/>
      <c r="BU176" s="73">
        <v>1</v>
      </c>
      <c r="BV176" s="693" t="str">
        <f t="shared" si="354"/>
        <v xml:space="preserve">Racionalizar el trámite de Solicitud compra de cartera a través del cambio en la Resolución 4373 de 2017 del ministerio de salud </v>
      </c>
      <c r="BW176" s="691">
        <f t="shared" si="421"/>
        <v>0</v>
      </c>
      <c r="BX176" s="695"/>
      <c r="BY176" s="695"/>
      <c r="BZ176" s="698">
        <f t="shared" si="355"/>
        <v>0</v>
      </c>
      <c r="CA176" s="698" t="e">
        <f t="shared" si="356"/>
        <v>#DIV/0!</v>
      </c>
      <c r="CB176" s="698">
        <f t="shared" si="357"/>
        <v>0</v>
      </c>
      <c r="CC176" s="698" t="e">
        <f t="shared" si="358"/>
        <v>#DIV/0!</v>
      </c>
      <c r="CD176" s="79"/>
      <c r="CE176" s="697" t="str">
        <f t="shared" si="330"/>
        <v>No Prog ni Ejec</v>
      </c>
      <c r="CF176" s="697" t="str">
        <f t="shared" si="331"/>
        <v>No Prog ni Ejec</v>
      </c>
      <c r="CG176" s="697" t="str">
        <f t="shared" si="332"/>
        <v>No Prog ni Ejec</v>
      </c>
      <c r="CH176" s="697" t="str">
        <f t="shared" si="333"/>
        <v>No Prog ni Ejec</v>
      </c>
      <c r="CI176" s="697" t="str">
        <f t="shared" si="334"/>
        <v>No Prog ni Ejec</v>
      </c>
      <c r="CJ176" s="697" t="str">
        <f t="shared" si="335"/>
        <v>No Prog ni Ejec</v>
      </c>
      <c r="CK176" s="697">
        <f t="shared" si="336"/>
        <v>0</v>
      </c>
      <c r="CL176" s="786" t="str">
        <f t="shared" si="337"/>
        <v>No Prog ni Ejec</v>
      </c>
      <c r="CM176" s="136">
        <f t="shared" si="271"/>
        <v>0</v>
      </c>
    </row>
    <row r="177" spans="1:107" s="70" customFormat="1" ht="114.75" hidden="1" x14ac:dyDescent="0.2">
      <c r="A177" s="785">
        <v>11400</v>
      </c>
      <c r="B177" s="693" t="s">
        <v>12</v>
      </c>
      <c r="C177" s="693" t="s">
        <v>336</v>
      </c>
      <c r="D177" s="129" t="s">
        <v>1023</v>
      </c>
      <c r="E177" s="129"/>
      <c r="F177" s="129"/>
      <c r="G177" s="129"/>
      <c r="H177" s="129"/>
      <c r="I177" s="129"/>
      <c r="J177" s="129"/>
      <c r="K177" s="129"/>
      <c r="L177" s="129"/>
      <c r="M177" s="129"/>
      <c r="N177" s="129"/>
      <c r="O177" s="129"/>
      <c r="P177" s="129"/>
      <c r="Q177" s="693" t="s">
        <v>1134</v>
      </c>
      <c r="R177" s="693" t="s">
        <v>1140</v>
      </c>
      <c r="S177" s="695" t="s">
        <v>68</v>
      </c>
      <c r="T177" s="693" t="s">
        <v>94</v>
      </c>
      <c r="U177" s="693" t="s">
        <v>204</v>
      </c>
      <c r="V177" s="693" t="s">
        <v>204</v>
      </c>
      <c r="W177" s="695" t="s">
        <v>144</v>
      </c>
      <c r="X177" s="693" t="s">
        <v>1061</v>
      </c>
      <c r="Y177" s="716" t="s">
        <v>391</v>
      </c>
      <c r="Z177" s="66">
        <v>3</v>
      </c>
      <c r="AA177" s="695" t="s">
        <v>143</v>
      </c>
      <c r="AB177" s="693" t="s">
        <v>1060</v>
      </c>
      <c r="AC177" s="691">
        <v>0</v>
      </c>
      <c r="AD177" s="706">
        <v>1</v>
      </c>
      <c r="AE177" s="693" t="s">
        <v>17</v>
      </c>
      <c r="AF177" s="693" t="s">
        <v>295</v>
      </c>
      <c r="AG177" s="693" t="s">
        <v>204</v>
      </c>
      <c r="AH177" s="693" t="s">
        <v>638</v>
      </c>
      <c r="AI177" s="693" t="s">
        <v>1051</v>
      </c>
      <c r="AJ177" s="693" t="s">
        <v>1286</v>
      </c>
      <c r="AK177" s="693" t="s">
        <v>1062</v>
      </c>
      <c r="AL177" s="693" t="s">
        <v>204</v>
      </c>
      <c r="AM177" s="67">
        <v>3</v>
      </c>
      <c r="AN177" s="693" t="str">
        <f t="shared" si="417"/>
        <v>Realizar reuniones de autocontrol y seguimiento a los procesos que evidencien el monitoreo a los riesgos, indicadores, planes de mejoramiento, manuales y documentos asociados</v>
      </c>
      <c r="AO177" s="703">
        <f t="shared" si="456"/>
        <v>0</v>
      </c>
      <c r="AP177" s="700" t="s">
        <v>48</v>
      </c>
      <c r="AQ177" s="67">
        <v>0</v>
      </c>
      <c r="AR177" s="693" t="str">
        <f t="shared" si="339"/>
        <v>Realizar reuniones de autocontrol y seguimiento a los procesos que evidencien el monitoreo a los riesgos, indicadores, planes de mejoramiento, manuales y documentos asociados</v>
      </c>
      <c r="AS177" s="691">
        <f t="shared" si="418"/>
        <v>0</v>
      </c>
      <c r="AT177" s="695">
        <v>0</v>
      </c>
      <c r="AU177" s="691">
        <v>0</v>
      </c>
      <c r="AV177" s="690" t="e">
        <f t="shared" si="340"/>
        <v>#DIV/0!</v>
      </c>
      <c r="AW177" s="690" t="e">
        <f t="shared" si="341"/>
        <v>#DIV/0!</v>
      </c>
      <c r="AX177" s="690">
        <f t="shared" si="342"/>
        <v>0</v>
      </c>
      <c r="AY177" s="690" t="e">
        <f t="shared" si="343"/>
        <v>#DIV/0!</v>
      </c>
      <c r="AZ177" s="512" t="s">
        <v>1388</v>
      </c>
      <c r="BA177" s="67">
        <v>1</v>
      </c>
      <c r="BB177" s="693" t="str">
        <f t="shared" si="344"/>
        <v>Realizar reuniones de autocontrol y seguimiento a los procesos que evidencien el monitoreo a los riesgos, indicadores, planes de mejoramiento, manuales y documentos asociados</v>
      </c>
      <c r="BC177" s="691">
        <f t="shared" si="419"/>
        <v>0</v>
      </c>
      <c r="BD177" s="716">
        <v>1</v>
      </c>
      <c r="BE177" s="691">
        <v>0</v>
      </c>
      <c r="BF177" s="690">
        <f t="shared" si="345"/>
        <v>1</v>
      </c>
      <c r="BG177" s="690" t="e">
        <f t="shared" si="346"/>
        <v>#DIV/0!</v>
      </c>
      <c r="BH177" s="690">
        <f t="shared" si="347"/>
        <v>0.33333333333333331</v>
      </c>
      <c r="BI177" s="690" t="e">
        <f t="shared" si="348"/>
        <v>#DIV/0!</v>
      </c>
      <c r="BJ177" s="516" t="s">
        <v>1704</v>
      </c>
      <c r="BK177" s="67">
        <v>1</v>
      </c>
      <c r="BL177" s="693" t="str">
        <f t="shared" si="349"/>
        <v>Realizar reuniones de autocontrol y seguimiento a los procesos que evidencien el monitoreo a los riesgos, indicadores, planes de mejoramiento, manuales y documentos asociados</v>
      </c>
      <c r="BM177" s="691">
        <f t="shared" si="420"/>
        <v>0</v>
      </c>
      <c r="BN177" s="695"/>
      <c r="BO177" s="695"/>
      <c r="BP177" s="690">
        <f t="shared" si="350"/>
        <v>0</v>
      </c>
      <c r="BQ177" s="690" t="e">
        <f t="shared" si="351"/>
        <v>#DIV/0!</v>
      </c>
      <c r="BR177" s="690">
        <f t="shared" si="352"/>
        <v>0.33333333333333331</v>
      </c>
      <c r="BS177" s="690" t="e">
        <f t="shared" si="353"/>
        <v>#DIV/0!</v>
      </c>
      <c r="BT177" s="690"/>
      <c r="BU177" s="67">
        <v>1</v>
      </c>
      <c r="BV177" s="693" t="str">
        <f t="shared" si="354"/>
        <v>Realizar reuniones de autocontrol y seguimiento a los procesos que evidencien el monitoreo a los riesgos, indicadores, planes de mejoramiento, manuales y documentos asociados</v>
      </c>
      <c r="BW177" s="691">
        <f t="shared" si="421"/>
        <v>0</v>
      </c>
      <c r="BX177" s="695"/>
      <c r="BY177" s="695"/>
      <c r="BZ177" s="698">
        <f t="shared" si="355"/>
        <v>0</v>
      </c>
      <c r="CA177" s="698" t="e">
        <f t="shared" si="356"/>
        <v>#DIV/0!</v>
      </c>
      <c r="CB177" s="698">
        <f t="shared" si="357"/>
        <v>0.33333333333333331</v>
      </c>
      <c r="CC177" s="698" t="e">
        <f t="shared" si="358"/>
        <v>#DIV/0!</v>
      </c>
      <c r="CD177" s="698"/>
      <c r="CE177" s="697" t="str">
        <f t="shared" si="330"/>
        <v>No Prog ni Ejec</v>
      </c>
      <c r="CF177" s="697" t="str">
        <f t="shared" si="331"/>
        <v>No Prog ni Ejec</v>
      </c>
      <c r="CG177" s="697">
        <f t="shared" si="332"/>
        <v>1</v>
      </c>
      <c r="CH177" s="697" t="str">
        <f t="shared" si="333"/>
        <v>No Prog ni Ejec</v>
      </c>
      <c r="CI177" s="697">
        <f t="shared" si="334"/>
        <v>0</v>
      </c>
      <c r="CJ177" s="697" t="str">
        <f t="shared" si="335"/>
        <v>No Prog ni Ejec</v>
      </c>
      <c r="CK177" s="697">
        <f t="shared" si="336"/>
        <v>0</v>
      </c>
      <c r="CL177" s="786" t="str">
        <f t="shared" si="337"/>
        <v>No Prog ni Ejec</v>
      </c>
      <c r="CM177" s="136">
        <f t="shared" si="271"/>
        <v>0</v>
      </c>
      <c r="CW177" s="125"/>
    </row>
    <row r="178" spans="1:107" s="70" customFormat="1" ht="99.75" hidden="1" customHeight="1" x14ac:dyDescent="0.2">
      <c r="A178" s="785">
        <v>11500</v>
      </c>
      <c r="B178" s="693" t="s">
        <v>13</v>
      </c>
      <c r="C178" s="693" t="s">
        <v>336</v>
      </c>
      <c r="D178" s="129" t="s">
        <v>1023</v>
      </c>
      <c r="E178" s="129"/>
      <c r="F178" s="129"/>
      <c r="G178" s="129"/>
      <c r="H178" s="129"/>
      <c r="I178" s="129"/>
      <c r="J178" s="129"/>
      <c r="K178" s="129"/>
      <c r="L178" s="129"/>
      <c r="M178" s="129"/>
      <c r="N178" s="129"/>
      <c r="O178" s="129"/>
      <c r="P178" s="129"/>
      <c r="Q178" s="693" t="s">
        <v>1134</v>
      </c>
      <c r="R178" s="693" t="s">
        <v>1140</v>
      </c>
      <c r="S178" s="695" t="s">
        <v>96</v>
      </c>
      <c r="T178" s="693" t="s">
        <v>94</v>
      </c>
      <c r="U178" s="693" t="s">
        <v>204</v>
      </c>
      <c r="V178" s="693" t="s">
        <v>204</v>
      </c>
      <c r="W178" s="695" t="s">
        <v>108</v>
      </c>
      <c r="X178" s="693" t="s">
        <v>1061</v>
      </c>
      <c r="Y178" s="716" t="s">
        <v>391</v>
      </c>
      <c r="Z178" s="66">
        <v>3</v>
      </c>
      <c r="AA178" s="695" t="s">
        <v>98</v>
      </c>
      <c r="AB178" s="693" t="s">
        <v>1060</v>
      </c>
      <c r="AC178" s="691">
        <v>0</v>
      </c>
      <c r="AD178" s="706">
        <v>1</v>
      </c>
      <c r="AE178" s="693" t="s">
        <v>17</v>
      </c>
      <c r="AF178" s="693" t="s">
        <v>295</v>
      </c>
      <c r="AG178" s="693" t="s">
        <v>204</v>
      </c>
      <c r="AH178" s="693" t="s">
        <v>638</v>
      </c>
      <c r="AI178" s="693" t="s">
        <v>1051</v>
      </c>
      <c r="AJ178" s="693" t="s">
        <v>1286</v>
      </c>
      <c r="AK178" s="693" t="s">
        <v>1062</v>
      </c>
      <c r="AL178" s="693" t="s">
        <v>204</v>
      </c>
      <c r="AM178" s="67">
        <v>3</v>
      </c>
      <c r="AN178" s="693" t="str">
        <f t="shared" si="417"/>
        <v>Realizar reuniones de autocontrol y seguimiento a los procesos que evidencien el monitoreo a los riesgos, indicadores, planes de mejoramiento, manuales y documentos asociados</v>
      </c>
      <c r="AO178" s="703">
        <f t="shared" si="456"/>
        <v>0</v>
      </c>
      <c r="AP178" s="700" t="s">
        <v>48</v>
      </c>
      <c r="AQ178" s="67">
        <v>0</v>
      </c>
      <c r="AR178" s="693" t="str">
        <f t="shared" si="339"/>
        <v>Realizar reuniones de autocontrol y seguimiento a los procesos que evidencien el monitoreo a los riesgos, indicadores, planes de mejoramiento, manuales y documentos asociados</v>
      </c>
      <c r="AS178" s="691">
        <f t="shared" si="418"/>
        <v>0</v>
      </c>
      <c r="AT178" s="491">
        <v>0</v>
      </c>
      <c r="AU178" s="709">
        <v>0</v>
      </c>
      <c r="AV178" s="690" t="e">
        <f t="shared" si="340"/>
        <v>#DIV/0!</v>
      </c>
      <c r="AW178" s="690" t="e">
        <f t="shared" si="341"/>
        <v>#DIV/0!</v>
      </c>
      <c r="AX178" s="690">
        <f t="shared" si="342"/>
        <v>0</v>
      </c>
      <c r="AY178" s="690" t="e">
        <f t="shared" si="343"/>
        <v>#DIV/0!</v>
      </c>
      <c r="AZ178" s="490" t="s">
        <v>1338</v>
      </c>
      <c r="BA178" s="67">
        <v>1</v>
      </c>
      <c r="BB178" s="693" t="str">
        <f t="shared" si="344"/>
        <v>Realizar reuniones de autocontrol y seguimiento a los procesos que evidencien el monitoreo a los riesgos, indicadores, planes de mejoramiento, manuales y documentos asociados</v>
      </c>
      <c r="BC178" s="691">
        <f t="shared" si="419"/>
        <v>0</v>
      </c>
      <c r="BD178" s="716">
        <v>1</v>
      </c>
      <c r="BE178" s="691">
        <v>0</v>
      </c>
      <c r="BF178" s="690">
        <f t="shared" si="345"/>
        <v>1</v>
      </c>
      <c r="BG178" s="690" t="e">
        <f t="shared" si="346"/>
        <v>#DIV/0!</v>
      </c>
      <c r="BH178" s="690">
        <f t="shared" si="347"/>
        <v>0.33333333333333331</v>
      </c>
      <c r="BI178" s="690" t="e">
        <f t="shared" si="348"/>
        <v>#DIV/0!</v>
      </c>
      <c r="BJ178" s="693" t="s">
        <v>1716</v>
      </c>
      <c r="BK178" s="67">
        <v>1</v>
      </c>
      <c r="BL178" s="693" t="str">
        <f t="shared" si="349"/>
        <v>Realizar reuniones de autocontrol y seguimiento a los procesos que evidencien el monitoreo a los riesgos, indicadores, planes de mejoramiento, manuales y documentos asociados</v>
      </c>
      <c r="BM178" s="691">
        <f t="shared" si="420"/>
        <v>0</v>
      </c>
      <c r="BN178" s="695"/>
      <c r="BO178" s="695"/>
      <c r="BP178" s="690">
        <f t="shared" si="350"/>
        <v>0</v>
      </c>
      <c r="BQ178" s="690" t="e">
        <f t="shared" si="351"/>
        <v>#DIV/0!</v>
      </c>
      <c r="BR178" s="690">
        <f t="shared" si="352"/>
        <v>0.33333333333333331</v>
      </c>
      <c r="BS178" s="690" t="e">
        <f t="shared" si="353"/>
        <v>#DIV/0!</v>
      </c>
      <c r="BT178" s="690"/>
      <c r="BU178" s="67">
        <v>1</v>
      </c>
      <c r="BV178" s="693" t="str">
        <f t="shared" si="354"/>
        <v>Realizar reuniones de autocontrol y seguimiento a los procesos que evidencien el monitoreo a los riesgos, indicadores, planes de mejoramiento, manuales y documentos asociados</v>
      </c>
      <c r="BW178" s="691">
        <f t="shared" si="421"/>
        <v>0</v>
      </c>
      <c r="BX178" s="695"/>
      <c r="BY178" s="695"/>
      <c r="BZ178" s="698">
        <f t="shared" si="355"/>
        <v>0</v>
      </c>
      <c r="CA178" s="698" t="e">
        <f t="shared" si="356"/>
        <v>#DIV/0!</v>
      </c>
      <c r="CB178" s="698">
        <f t="shared" si="357"/>
        <v>0.33333333333333331</v>
      </c>
      <c r="CC178" s="698" t="e">
        <f t="shared" si="358"/>
        <v>#DIV/0!</v>
      </c>
      <c r="CD178" s="698"/>
      <c r="CE178" s="697" t="str">
        <f t="shared" si="330"/>
        <v>No Prog ni Ejec</v>
      </c>
      <c r="CF178" s="697" t="str">
        <f t="shared" si="331"/>
        <v>No Prog ni Ejec</v>
      </c>
      <c r="CG178" s="697">
        <f t="shared" si="332"/>
        <v>1</v>
      </c>
      <c r="CH178" s="697" t="str">
        <f t="shared" si="333"/>
        <v>No Prog ni Ejec</v>
      </c>
      <c r="CI178" s="697">
        <f t="shared" si="334"/>
        <v>0</v>
      </c>
      <c r="CJ178" s="697" t="str">
        <f t="shared" si="335"/>
        <v>No Prog ni Ejec</v>
      </c>
      <c r="CK178" s="697">
        <f t="shared" si="336"/>
        <v>0</v>
      </c>
      <c r="CL178" s="786" t="str">
        <f t="shared" si="337"/>
        <v>No Prog ni Ejec</v>
      </c>
      <c r="CM178" s="136">
        <f t="shared" si="271"/>
        <v>0</v>
      </c>
      <c r="CW178" s="125"/>
    </row>
    <row r="179" spans="1:107" s="81" customFormat="1" ht="89.25" hidden="1" customHeight="1" x14ac:dyDescent="0.2">
      <c r="A179" s="785">
        <v>12000</v>
      </c>
      <c r="B179" s="693" t="s">
        <v>15</v>
      </c>
      <c r="C179" s="693" t="s">
        <v>336</v>
      </c>
      <c r="D179" s="129"/>
      <c r="E179" s="129" t="s">
        <v>1023</v>
      </c>
      <c r="F179" s="129"/>
      <c r="G179" s="129"/>
      <c r="H179" s="129"/>
      <c r="I179" s="129"/>
      <c r="J179" s="129"/>
      <c r="K179" s="129"/>
      <c r="L179" s="129"/>
      <c r="M179" s="129"/>
      <c r="N179" s="129"/>
      <c r="O179" s="129"/>
      <c r="P179" s="129"/>
      <c r="Q179" s="693" t="s">
        <v>1136</v>
      </c>
      <c r="R179" s="693" t="s">
        <v>1138</v>
      </c>
      <c r="S179" s="695" t="s">
        <v>53</v>
      </c>
      <c r="T179" s="693" t="s">
        <v>94</v>
      </c>
      <c r="U179" s="693" t="s">
        <v>204</v>
      </c>
      <c r="V179" s="693" t="s">
        <v>204</v>
      </c>
      <c r="W179" s="695" t="s">
        <v>1124</v>
      </c>
      <c r="X179" s="693" t="s">
        <v>1086</v>
      </c>
      <c r="Y179" s="165" t="s">
        <v>391</v>
      </c>
      <c r="Z179" s="73">
        <v>1</v>
      </c>
      <c r="AA179" s="695" t="s">
        <v>1123</v>
      </c>
      <c r="AB179" s="693" t="s">
        <v>1085</v>
      </c>
      <c r="AC179" s="722">
        <v>0</v>
      </c>
      <c r="AD179" s="706">
        <v>1</v>
      </c>
      <c r="AE179" s="693" t="s">
        <v>17</v>
      </c>
      <c r="AF179" s="693" t="s">
        <v>295</v>
      </c>
      <c r="AG179" s="693" t="s">
        <v>204</v>
      </c>
      <c r="AH179" s="693" t="s">
        <v>638</v>
      </c>
      <c r="AI179" s="693" t="s">
        <v>1051</v>
      </c>
      <c r="AJ179" s="693" t="s">
        <v>1291</v>
      </c>
      <c r="AK179" s="693" t="s">
        <v>1088</v>
      </c>
      <c r="AL179" s="693" t="s">
        <v>44</v>
      </c>
      <c r="AM179" s="73">
        <v>1</v>
      </c>
      <c r="AN179" s="693" t="str">
        <f>+AB179</f>
        <v>Hacer seguimiento a la implementación de MIPG</v>
      </c>
      <c r="AO179" s="703">
        <f t="shared" si="456"/>
        <v>0</v>
      </c>
      <c r="AP179" s="700" t="s">
        <v>48</v>
      </c>
      <c r="AQ179" s="726">
        <v>0.25</v>
      </c>
      <c r="AR179" s="693" t="str">
        <f t="shared" si="339"/>
        <v>Hacer seguimiento a la implementación de MIPG</v>
      </c>
      <c r="AS179" s="691">
        <f>+AO179/4</f>
        <v>0</v>
      </c>
      <c r="AT179" s="706">
        <f>1*25%</f>
        <v>0.25</v>
      </c>
      <c r="AU179" s="708">
        <v>0</v>
      </c>
      <c r="AV179" s="690">
        <f t="shared" si="340"/>
        <v>1</v>
      </c>
      <c r="AW179" s="690" t="e">
        <f t="shared" si="341"/>
        <v>#DIV/0!</v>
      </c>
      <c r="AX179" s="690">
        <f t="shared" si="342"/>
        <v>0.25</v>
      </c>
      <c r="AY179" s="690" t="e">
        <f t="shared" si="343"/>
        <v>#DIV/0!</v>
      </c>
      <c r="AZ179" s="516" t="s">
        <v>1627</v>
      </c>
      <c r="BA179" s="627">
        <v>0</v>
      </c>
      <c r="BB179" s="693" t="str">
        <f t="shared" si="344"/>
        <v>Hacer seguimiento a la implementación de MIPG</v>
      </c>
      <c r="BC179" s="691">
        <f>+AO179/4</f>
        <v>0</v>
      </c>
      <c r="BD179" s="515">
        <v>0</v>
      </c>
      <c r="BE179" s="691">
        <v>0</v>
      </c>
      <c r="BF179" s="690" t="e">
        <f t="shared" si="345"/>
        <v>#DIV/0!</v>
      </c>
      <c r="BG179" s="690" t="e">
        <f t="shared" si="346"/>
        <v>#DIV/0!</v>
      </c>
      <c r="BH179" s="690">
        <f t="shared" si="347"/>
        <v>0.25</v>
      </c>
      <c r="BI179" s="690" t="e">
        <f t="shared" si="348"/>
        <v>#DIV/0!</v>
      </c>
      <c r="BJ179" s="512" t="s">
        <v>1343</v>
      </c>
      <c r="BK179" s="627">
        <v>0.75</v>
      </c>
      <c r="BL179" s="693" t="str">
        <f t="shared" si="349"/>
        <v>Hacer seguimiento a la implementación de MIPG</v>
      </c>
      <c r="BM179" s="691">
        <f>+AO179/4</f>
        <v>0</v>
      </c>
      <c r="BN179" s="695"/>
      <c r="BO179" s="695"/>
      <c r="BP179" s="690">
        <f t="shared" si="350"/>
        <v>0</v>
      </c>
      <c r="BQ179" s="690" t="e">
        <f t="shared" si="351"/>
        <v>#DIV/0!</v>
      </c>
      <c r="BR179" s="690">
        <f t="shared" si="352"/>
        <v>0.25</v>
      </c>
      <c r="BS179" s="690" t="e">
        <f t="shared" si="353"/>
        <v>#DIV/0!</v>
      </c>
      <c r="BT179" s="690"/>
      <c r="BU179" s="627">
        <v>0</v>
      </c>
      <c r="BV179" s="693" t="str">
        <f t="shared" si="354"/>
        <v>Hacer seguimiento a la implementación de MIPG</v>
      </c>
      <c r="BW179" s="691">
        <f>+AO179/4</f>
        <v>0</v>
      </c>
      <c r="BX179" s="695"/>
      <c r="BY179" s="695"/>
      <c r="BZ179" s="698" t="e">
        <f t="shared" si="355"/>
        <v>#DIV/0!</v>
      </c>
      <c r="CA179" s="698" t="e">
        <f t="shared" si="356"/>
        <v>#DIV/0!</v>
      </c>
      <c r="CB179" s="698">
        <f t="shared" si="357"/>
        <v>0.25</v>
      </c>
      <c r="CC179" s="698" t="e">
        <f t="shared" si="358"/>
        <v>#DIV/0!</v>
      </c>
      <c r="CD179" s="698"/>
      <c r="CE179" s="697">
        <f t="shared" si="330"/>
        <v>1</v>
      </c>
      <c r="CF179" s="697" t="str">
        <f t="shared" si="331"/>
        <v>No Prog ni Ejec</v>
      </c>
      <c r="CG179" s="697" t="str">
        <f t="shared" si="332"/>
        <v>No Prog ni Ejec</v>
      </c>
      <c r="CH179" s="697" t="str">
        <f t="shared" si="333"/>
        <v>No Prog ni Ejec</v>
      </c>
      <c r="CI179" s="697">
        <f t="shared" si="334"/>
        <v>0</v>
      </c>
      <c r="CJ179" s="697" t="str">
        <f t="shared" si="335"/>
        <v>No Prog ni Ejec</v>
      </c>
      <c r="CK179" s="697" t="str">
        <f t="shared" si="336"/>
        <v>No Prog ni Ejec</v>
      </c>
      <c r="CL179" s="786" t="str">
        <f t="shared" si="337"/>
        <v>No Prog ni Ejec</v>
      </c>
      <c r="CM179" s="136">
        <f t="shared" si="271"/>
        <v>0</v>
      </c>
    </row>
    <row r="180" spans="1:107" ht="242.25" hidden="1" x14ac:dyDescent="0.25">
      <c r="A180" s="785" t="s">
        <v>1235</v>
      </c>
      <c r="B180" s="693" t="s">
        <v>1234</v>
      </c>
      <c r="C180" s="693" t="s">
        <v>332</v>
      </c>
      <c r="D180" s="478"/>
      <c r="E180" s="129" t="s">
        <v>1023</v>
      </c>
      <c r="F180" s="478"/>
      <c r="G180" s="478"/>
      <c r="H180" s="478"/>
      <c r="I180" s="478"/>
      <c r="J180" s="478"/>
      <c r="K180" s="478"/>
      <c r="L180" s="478"/>
      <c r="M180" s="478"/>
      <c r="N180" s="478"/>
      <c r="O180" s="129" t="s">
        <v>1023</v>
      </c>
      <c r="P180" s="478"/>
      <c r="Q180" s="693" t="s">
        <v>204</v>
      </c>
      <c r="R180" s="693" t="s">
        <v>204</v>
      </c>
      <c r="S180" s="695" t="s">
        <v>1236</v>
      </c>
      <c r="T180" s="693" t="s">
        <v>94</v>
      </c>
      <c r="U180" s="693" t="s">
        <v>204</v>
      </c>
      <c r="V180" s="693" t="s">
        <v>204</v>
      </c>
      <c r="W180" s="130" t="s">
        <v>1239</v>
      </c>
      <c r="X180" s="724" t="s">
        <v>1246</v>
      </c>
      <c r="Y180" s="100" t="s">
        <v>391</v>
      </c>
      <c r="Z180" s="73">
        <v>1</v>
      </c>
      <c r="AA180" s="130" t="s">
        <v>1240</v>
      </c>
      <c r="AB180" s="724" t="s">
        <v>1243</v>
      </c>
      <c r="AC180" s="691">
        <v>0</v>
      </c>
      <c r="AD180" s="706">
        <v>1</v>
      </c>
      <c r="AE180" s="693" t="s">
        <v>17</v>
      </c>
      <c r="AF180" s="693" t="s">
        <v>297</v>
      </c>
      <c r="AG180" s="693" t="s">
        <v>204</v>
      </c>
      <c r="AH180" s="693" t="s">
        <v>638</v>
      </c>
      <c r="AI180" s="693" t="s">
        <v>81</v>
      </c>
      <c r="AJ180" s="693" t="s">
        <v>1278</v>
      </c>
      <c r="AK180" s="724" t="s">
        <v>1247</v>
      </c>
      <c r="AL180" s="693" t="s">
        <v>204</v>
      </c>
      <c r="AM180" s="67">
        <f>+Z180</f>
        <v>1</v>
      </c>
      <c r="AN180" s="693" t="str">
        <f>+AB180</f>
        <v>Realizar autodiagnóstico frente al cumplimiento del Régimen de protección de datos personales</v>
      </c>
      <c r="AO180" s="703">
        <f t="shared" si="456"/>
        <v>0</v>
      </c>
      <c r="AP180" s="700" t="s">
        <v>48</v>
      </c>
      <c r="AQ180" s="695">
        <v>1</v>
      </c>
      <c r="AR180" s="693" t="str">
        <f t="shared" si="339"/>
        <v>Realizar autodiagnóstico frente al cumplimiento del Régimen de protección de datos personales</v>
      </c>
      <c r="AS180" s="691">
        <v>0</v>
      </c>
      <c r="AT180" s="695">
        <v>1</v>
      </c>
      <c r="AU180" s="701">
        <v>0</v>
      </c>
      <c r="AV180" s="690">
        <f t="shared" si="340"/>
        <v>1</v>
      </c>
      <c r="AW180" s="690" t="e">
        <f t="shared" si="341"/>
        <v>#DIV/0!</v>
      </c>
      <c r="AX180" s="690">
        <f t="shared" si="342"/>
        <v>1</v>
      </c>
      <c r="AY180" s="690" t="e">
        <f t="shared" si="343"/>
        <v>#DIV/0!</v>
      </c>
      <c r="AZ180" s="484" t="s">
        <v>1393</v>
      </c>
      <c r="BA180" s="479">
        <v>0</v>
      </c>
      <c r="BB180" s="693" t="str">
        <f t="shared" si="344"/>
        <v>Realizar autodiagnóstico frente al cumplimiento del Régimen de protección de datos personales</v>
      </c>
      <c r="BC180" s="691">
        <v>0</v>
      </c>
      <c r="BD180" s="858">
        <v>0</v>
      </c>
      <c r="BE180" s="701">
        <v>0</v>
      </c>
      <c r="BF180" s="690" t="e">
        <f t="shared" si="345"/>
        <v>#DIV/0!</v>
      </c>
      <c r="BG180" s="690" t="e">
        <f t="shared" si="346"/>
        <v>#DIV/0!</v>
      </c>
      <c r="BH180" s="690">
        <f t="shared" si="347"/>
        <v>1</v>
      </c>
      <c r="BI180" s="715" t="e">
        <f t="shared" si="348"/>
        <v>#DIV/0!</v>
      </c>
      <c r="BJ180" s="516" t="s">
        <v>1690</v>
      </c>
      <c r="BK180" s="695">
        <v>0</v>
      </c>
      <c r="BL180" s="693" t="str">
        <f t="shared" si="349"/>
        <v>Realizar autodiagnóstico frente al cumplimiento del Régimen de protección de datos personales</v>
      </c>
      <c r="BM180" s="691">
        <v>0</v>
      </c>
      <c r="BN180" s="695"/>
      <c r="BO180" s="695"/>
      <c r="BP180" s="690" t="e">
        <f t="shared" si="350"/>
        <v>#DIV/0!</v>
      </c>
      <c r="BQ180" s="690" t="e">
        <f t="shared" si="351"/>
        <v>#DIV/0!</v>
      </c>
      <c r="BR180" s="690">
        <f t="shared" si="352"/>
        <v>1</v>
      </c>
      <c r="BS180" s="715" t="e">
        <f t="shared" si="353"/>
        <v>#DIV/0!</v>
      </c>
      <c r="BT180" s="690"/>
      <c r="BU180" s="179">
        <v>0</v>
      </c>
      <c r="BV180" s="693" t="str">
        <f t="shared" si="354"/>
        <v>Realizar autodiagnóstico frente al cumplimiento del Régimen de protección de datos personales</v>
      </c>
      <c r="BW180" s="691">
        <v>0</v>
      </c>
      <c r="BX180" s="695"/>
      <c r="BY180" s="695"/>
      <c r="BZ180" s="698" t="e">
        <f t="shared" si="355"/>
        <v>#DIV/0!</v>
      </c>
      <c r="CA180" s="698" t="e">
        <f>+(#REF!/#REF!)</f>
        <v>#REF!</v>
      </c>
      <c r="CB180" s="698">
        <f t="shared" si="357"/>
        <v>1</v>
      </c>
      <c r="CC180" s="710" t="e">
        <f>+(#REF!+#REF!+#REF!+#REF!)/#REF!</f>
        <v>#REF!</v>
      </c>
      <c r="CD180" s="698"/>
      <c r="CE180" s="697">
        <f t="shared" si="330"/>
        <v>1</v>
      </c>
      <c r="CF180" s="697" t="str">
        <f t="shared" si="331"/>
        <v>No Prog ni Ejec</v>
      </c>
      <c r="CG180" s="697" t="str">
        <f t="shared" si="332"/>
        <v>No Prog ni Ejec</v>
      </c>
      <c r="CH180" s="697" t="str">
        <f t="shared" si="333"/>
        <v>No Prog ni Ejec</v>
      </c>
      <c r="CI180" s="697" t="str">
        <f t="shared" si="334"/>
        <v>No Prog ni Ejec</v>
      </c>
      <c r="CJ180" s="697" t="str">
        <f t="shared" si="335"/>
        <v>No Prog ni Ejec</v>
      </c>
      <c r="CK180" s="697" t="str">
        <f t="shared" si="336"/>
        <v>No Prog ni Ejec</v>
      </c>
      <c r="CL180" s="786" t="str">
        <f t="shared" si="337"/>
        <v>No Prog ni Ejec</v>
      </c>
      <c r="CM180" s="136">
        <f>+AC180-AS180-BC180-BM180-BW180</f>
        <v>0</v>
      </c>
    </row>
    <row r="181" spans="1:107" ht="114.75" hidden="1" x14ac:dyDescent="0.25">
      <c r="A181" s="785" t="s">
        <v>1235</v>
      </c>
      <c r="B181" s="693" t="s">
        <v>1234</v>
      </c>
      <c r="C181" s="693" t="s">
        <v>332</v>
      </c>
      <c r="D181" s="478"/>
      <c r="E181" s="129" t="s">
        <v>1023</v>
      </c>
      <c r="F181" s="478"/>
      <c r="G181" s="478"/>
      <c r="H181" s="478"/>
      <c r="I181" s="478"/>
      <c r="J181" s="478"/>
      <c r="K181" s="478"/>
      <c r="L181" s="478"/>
      <c r="M181" s="478"/>
      <c r="N181" s="478"/>
      <c r="O181" s="129" t="s">
        <v>1023</v>
      </c>
      <c r="P181" s="478"/>
      <c r="Q181" s="693" t="s">
        <v>204</v>
      </c>
      <c r="R181" s="693" t="s">
        <v>204</v>
      </c>
      <c r="S181" s="695" t="s">
        <v>1236</v>
      </c>
      <c r="T181" s="693" t="s">
        <v>94</v>
      </c>
      <c r="U181" s="693" t="s">
        <v>204</v>
      </c>
      <c r="V181" s="693" t="s">
        <v>204</v>
      </c>
      <c r="W181" s="130" t="s">
        <v>1242</v>
      </c>
      <c r="X181" s="724" t="s">
        <v>1237</v>
      </c>
      <c r="Y181" s="100" t="s">
        <v>391</v>
      </c>
      <c r="Z181" s="73">
        <v>1</v>
      </c>
      <c r="AA181" s="130" t="s">
        <v>1241</v>
      </c>
      <c r="AB181" s="724" t="s">
        <v>1244</v>
      </c>
      <c r="AC181" s="691">
        <v>0</v>
      </c>
      <c r="AD181" s="706">
        <v>1</v>
      </c>
      <c r="AE181" s="693" t="s">
        <v>17</v>
      </c>
      <c r="AF181" s="693" t="s">
        <v>297</v>
      </c>
      <c r="AG181" s="693" t="s">
        <v>204</v>
      </c>
      <c r="AH181" s="693" t="s">
        <v>638</v>
      </c>
      <c r="AI181" s="693" t="s">
        <v>81</v>
      </c>
      <c r="AJ181" s="693" t="s">
        <v>1278</v>
      </c>
      <c r="AK181" s="724" t="s">
        <v>1248</v>
      </c>
      <c r="AL181" s="693" t="s">
        <v>204</v>
      </c>
      <c r="AM181" s="67">
        <f>+Z181</f>
        <v>1</v>
      </c>
      <c r="AN181" s="693" t="str">
        <f>+AB181</f>
        <v>Realizar registro de las bases de datos con datos personales ante la Superintendencia de Industria y Comercio - SIC</v>
      </c>
      <c r="AO181" s="703">
        <f t="shared" si="456"/>
        <v>0</v>
      </c>
      <c r="AP181" s="700" t="s">
        <v>48</v>
      </c>
      <c r="AQ181" s="695">
        <v>1</v>
      </c>
      <c r="AR181" s="693" t="str">
        <f t="shared" si="339"/>
        <v>Realizar registro de las bases de datos con datos personales ante la Superintendencia de Industria y Comercio - SIC</v>
      </c>
      <c r="AS181" s="691">
        <v>0</v>
      </c>
      <c r="AT181" s="695">
        <v>1</v>
      </c>
      <c r="AU181" s="701">
        <v>0</v>
      </c>
      <c r="AV181" s="690">
        <f t="shared" si="340"/>
        <v>1</v>
      </c>
      <c r="AW181" s="690" t="e">
        <f t="shared" si="341"/>
        <v>#DIV/0!</v>
      </c>
      <c r="AX181" s="690">
        <f t="shared" si="342"/>
        <v>1</v>
      </c>
      <c r="AY181" s="690" t="e">
        <f t="shared" si="343"/>
        <v>#DIV/0!</v>
      </c>
      <c r="AZ181" s="484" t="s">
        <v>1394</v>
      </c>
      <c r="BA181" s="479">
        <v>0</v>
      </c>
      <c r="BB181" s="693" t="str">
        <f t="shared" si="344"/>
        <v>Realizar registro de las bases de datos con datos personales ante la Superintendencia de Industria y Comercio - SIC</v>
      </c>
      <c r="BC181" s="691">
        <v>0</v>
      </c>
      <c r="BD181" s="858">
        <v>0</v>
      </c>
      <c r="BE181" s="701">
        <v>0</v>
      </c>
      <c r="BF181" s="690" t="e">
        <f t="shared" si="345"/>
        <v>#DIV/0!</v>
      </c>
      <c r="BG181" s="690" t="e">
        <f t="shared" si="346"/>
        <v>#DIV/0!</v>
      </c>
      <c r="BH181" s="690">
        <f t="shared" si="347"/>
        <v>1</v>
      </c>
      <c r="BI181" s="715" t="e">
        <f t="shared" si="348"/>
        <v>#DIV/0!</v>
      </c>
      <c r="BJ181" s="516" t="s">
        <v>1691</v>
      </c>
      <c r="BK181" s="695">
        <v>0</v>
      </c>
      <c r="BL181" s="693" t="str">
        <f t="shared" si="349"/>
        <v>Realizar registro de las bases de datos con datos personales ante la Superintendencia de Industria y Comercio - SIC</v>
      </c>
      <c r="BM181" s="691">
        <v>0</v>
      </c>
      <c r="BN181" s="695"/>
      <c r="BO181" s="695"/>
      <c r="BP181" s="690" t="e">
        <f t="shared" si="350"/>
        <v>#DIV/0!</v>
      </c>
      <c r="BQ181" s="690" t="e">
        <f t="shared" si="351"/>
        <v>#DIV/0!</v>
      </c>
      <c r="BR181" s="690">
        <f t="shared" si="352"/>
        <v>1</v>
      </c>
      <c r="BS181" s="715" t="e">
        <f t="shared" si="353"/>
        <v>#DIV/0!</v>
      </c>
      <c r="BT181" s="690"/>
      <c r="BU181" s="179">
        <v>0</v>
      </c>
      <c r="BV181" s="693" t="str">
        <f t="shared" si="354"/>
        <v>Realizar registro de las bases de datos con datos personales ante la Superintendencia de Industria y Comercio - SIC</v>
      </c>
      <c r="BW181" s="691">
        <v>0</v>
      </c>
      <c r="BX181" s="695"/>
      <c r="BY181" s="695"/>
      <c r="BZ181" s="698" t="e">
        <f t="shared" si="355"/>
        <v>#DIV/0!</v>
      </c>
      <c r="CA181" s="698" t="e">
        <f>+(BY159/BW159)</f>
        <v>#DIV/0!</v>
      </c>
      <c r="CB181" s="698">
        <f t="shared" si="357"/>
        <v>1</v>
      </c>
      <c r="CC181" s="710" t="e">
        <f>+(BE159+AU159+BO159+BY159)/AO159</f>
        <v>#DIV/0!</v>
      </c>
      <c r="CD181" s="698"/>
      <c r="CE181" s="697">
        <f t="shared" si="330"/>
        <v>1</v>
      </c>
      <c r="CF181" s="697" t="str">
        <f t="shared" si="331"/>
        <v>No Prog ni Ejec</v>
      </c>
      <c r="CG181" s="697" t="str">
        <f t="shared" si="332"/>
        <v>No Prog ni Ejec</v>
      </c>
      <c r="CH181" s="697" t="str">
        <f t="shared" si="333"/>
        <v>No Prog ni Ejec</v>
      </c>
      <c r="CI181" s="697" t="str">
        <f t="shared" si="334"/>
        <v>No Prog ni Ejec</v>
      </c>
      <c r="CJ181" s="697" t="str">
        <f t="shared" si="335"/>
        <v>No Prog ni Ejec</v>
      </c>
      <c r="CK181" s="697" t="str">
        <f t="shared" si="336"/>
        <v>No Prog ni Ejec</v>
      </c>
      <c r="CL181" s="786" t="str">
        <f t="shared" si="337"/>
        <v>No Prog ni Ejec</v>
      </c>
      <c r="CM181" s="136">
        <f>+AC181-AS181-BC181-BM181-BW181</f>
        <v>0</v>
      </c>
    </row>
    <row r="182" spans="1:107" ht="89.25" hidden="1" x14ac:dyDescent="0.25">
      <c r="A182" s="785" t="s">
        <v>1235</v>
      </c>
      <c r="B182" s="702" t="s">
        <v>14</v>
      </c>
      <c r="C182" s="693" t="s">
        <v>332</v>
      </c>
      <c r="D182" s="478"/>
      <c r="E182" s="129" t="s">
        <v>1023</v>
      </c>
      <c r="F182" s="478"/>
      <c r="G182" s="478"/>
      <c r="H182" s="478"/>
      <c r="I182" s="478"/>
      <c r="J182" s="478"/>
      <c r="K182" s="478"/>
      <c r="L182" s="478"/>
      <c r="M182" s="478"/>
      <c r="N182" s="478"/>
      <c r="O182" s="129" t="s">
        <v>1023</v>
      </c>
      <c r="P182" s="478"/>
      <c r="Q182" s="693" t="s">
        <v>204</v>
      </c>
      <c r="R182" s="693" t="s">
        <v>204</v>
      </c>
      <c r="S182" s="695" t="s">
        <v>1236</v>
      </c>
      <c r="T182" s="693" t="s">
        <v>94</v>
      </c>
      <c r="U182" s="693" t="s">
        <v>204</v>
      </c>
      <c r="V182" s="693" t="s">
        <v>204</v>
      </c>
      <c r="W182" s="595" t="s">
        <v>1512</v>
      </c>
      <c r="X182" s="724" t="s">
        <v>1238</v>
      </c>
      <c r="Y182" s="100" t="s">
        <v>51</v>
      </c>
      <c r="Z182" s="627">
        <v>1</v>
      </c>
      <c r="AA182" s="595" t="s">
        <v>1511</v>
      </c>
      <c r="AB182" s="724" t="s">
        <v>1245</v>
      </c>
      <c r="AC182" s="691">
        <v>0</v>
      </c>
      <c r="AD182" s="706">
        <v>1</v>
      </c>
      <c r="AE182" s="693" t="s">
        <v>17</v>
      </c>
      <c r="AF182" s="693" t="s">
        <v>297</v>
      </c>
      <c r="AG182" s="693" t="s">
        <v>204</v>
      </c>
      <c r="AH182" s="693" t="s">
        <v>638</v>
      </c>
      <c r="AI182" s="693" t="s">
        <v>81</v>
      </c>
      <c r="AJ182" s="693" t="s">
        <v>1278</v>
      </c>
      <c r="AK182" s="724" t="s">
        <v>1305</v>
      </c>
      <c r="AL182" s="693" t="s">
        <v>204</v>
      </c>
      <c r="AM182" s="706">
        <f>+Z182</f>
        <v>1</v>
      </c>
      <c r="AN182" s="693" t="str">
        <f>+AB182</f>
        <v>Desarrollar e implementar solicitudes de autorización para el tratamiento de datos personales</v>
      </c>
      <c r="AO182" s="703">
        <f t="shared" si="456"/>
        <v>0</v>
      </c>
      <c r="AP182" s="700" t="s">
        <v>48</v>
      </c>
      <c r="AQ182" s="698">
        <v>0</v>
      </c>
      <c r="AR182" s="693" t="str">
        <f t="shared" si="339"/>
        <v>Desarrollar e implementar solicitudes de autorización para el tratamiento de datos personales</v>
      </c>
      <c r="AS182" s="691">
        <v>0</v>
      </c>
      <c r="AT182" s="695">
        <v>0</v>
      </c>
      <c r="AU182" s="701">
        <v>0</v>
      </c>
      <c r="AV182" s="690" t="e">
        <f t="shared" si="340"/>
        <v>#DIV/0!</v>
      </c>
      <c r="AW182" s="690" t="e">
        <f t="shared" si="341"/>
        <v>#DIV/0!</v>
      </c>
      <c r="AX182" s="690">
        <f t="shared" si="342"/>
        <v>0</v>
      </c>
      <c r="AY182" s="690" t="e">
        <f t="shared" si="343"/>
        <v>#DIV/0!</v>
      </c>
      <c r="AZ182" s="484" t="s">
        <v>1323</v>
      </c>
      <c r="BA182" s="480">
        <v>0</v>
      </c>
      <c r="BB182" s="693" t="str">
        <f t="shared" si="344"/>
        <v>Desarrollar e implementar solicitudes de autorización para el tratamiento de datos personales</v>
      </c>
      <c r="BC182" s="691">
        <v>0</v>
      </c>
      <c r="BD182" s="515">
        <v>0</v>
      </c>
      <c r="BE182" s="691">
        <v>0</v>
      </c>
      <c r="BF182" s="690" t="e">
        <f t="shared" si="345"/>
        <v>#DIV/0!</v>
      </c>
      <c r="BG182" s="690" t="e">
        <f t="shared" si="346"/>
        <v>#DIV/0!</v>
      </c>
      <c r="BH182" s="690">
        <f t="shared" si="347"/>
        <v>0</v>
      </c>
      <c r="BI182" s="715" t="e">
        <f t="shared" si="348"/>
        <v>#DIV/0!</v>
      </c>
      <c r="BJ182" s="512"/>
      <c r="BK182" s="627">
        <v>0.4</v>
      </c>
      <c r="BL182" s="693" t="str">
        <f t="shared" si="349"/>
        <v>Desarrollar e implementar solicitudes de autorización para el tratamiento de datos personales</v>
      </c>
      <c r="BM182" s="691">
        <v>0</v>
      </c>
      <c r="BN182" s="695"/>
      <c r="BO182" s="695"/>
      <c r="BP182" s="690">
        <f t="shared" si="350"/>
        <v>0</v>
      </c>
      <c r="BQ182" s="690" t="e">
        <f t="shared" si="351"/>
        <v>#DIV/0!</v>
      </c>
      <c r="BR182" s="690">
        <f t="shared" si="352"/>
        <v>0</v>
      </c>
      <c r="BS182" s="715" t="e">
        <f t="shared" si="353"/>
        <v>#DIV/0!</v>
      </c>
      <c r="BT182" s="690"/>
      <c r="BU182" s="604">
        <v>0.6</v>
      </c>
      <c r="BV182" s="693" t="str">
        <f t="shared" si="354"/>
        <v>Desarrollar e implementar solicitudes de autorización para el tratamiento de datos personales</v>
      </c>
      <c r="BW182" s="691">
        <v>0</v>
      </c>
      <c r="BX182" s="695"/>
      <c r="BY182" s="695"/>
      <c r="BZ182" s="698">
        <f t="shared" si="355"/>
        <v>0</v>
      </c>
      <c r="CA182" s="698" t="e">
        <f>+(BY160/BW160)</f>
        <v>#DIV/0!</v>
      </c>
      <c r="CB182" s="698">
        <f t="shared" si="357"/>
        <v>0</v>
      </c>
      <c r="CC182" s="710" t="e">
        <f>+(BE160+AU160+BO160+BY160)/AO160</f>
        <v>#DIV/0!</v>
      </c>
      <c r="CD182" s="698"/>
      <c r="CE182" s="697" t="str">
        <f t="shared" si="330"/>
        <v>No Prog ni Ejec</v>
      </c>
      <c r="CF182" s="697" t="str">
        <f t="shared" si="331"/>
        <v>No Prog ni Ejec</v>
      </c>
      <c r="CG182" s="697" t="str">
        <f t="shared" si="332"/>
        <v>No Prog ni Ejec</v>
      </c>
      <c r="CH182" s="697" t="str">
        <f t="shared" si="333"/>
        <v>No Prog ni Ejec</v>
      </c>
      <c r="CI182" s="697">
        <f t="shared" si="334"/>
        <v>0</v>
      </c>
      <c r="CJ182" s="697" t="str">
        <f t="shared" si="335"/>
        <v>No Prog ni Ejec</v>
      </c>
      <c r="CK182" s="697">
        <f t="shared" si="336"/>
        <v>0</v>
      </c>
      <c r="CL182" s="786" t="str">
        <f t="shared" si="337"/>
        <v>No Prog ni Ejec</v>
      </c>
      <c r="CM182" s="136">
        <f>+AC182-AS182-BC182-BM182-BW182</f>
        <v>0</v>
      </c>
    </row>
    <row r="183" spans="1:107" s="598" customFormat="1" ht="89.25" hidden="1" x14ac:dyDescent="0.25">
      <c r="A183" s="881">
        <v>11200</v>
      </c>
      <c r="B183" s="702" t="s">
        <v>1</v>
      </c>
      <c r="C183" s="702" t="s">
        <v>330</v>
      </c>
      <c r="D183" s="1"/>
      <c r="E183" s="1" t="s">
        <v>1023</v>
      </c>
      <c r="F183" s="1"/>
      <c r="G183" s="1"/>
      <c r="H183" s="1"/>
      <c r="I183" s="1"/>
      <c r="J183" s="1"/>
      <c r="K183" s="1"/>
      <c r="L183" s="1"/>
      <c r="M183" s="1"/>
      <c r="N183" s="1"/>
      <c r="O183" s="1"/>
      <c r="P183" s="1"/>
      <c r="Q183" s="693" t="s">
        <v>204</v>
      </c>
      <c r="R183" s="693" t="s">
        <v>204</v>
      </c>
      <c r="S183" s="695" t="s">
        <v>111</v>
      </c>
      <c r="T183" s="693" t="s">
        <v>94</v>
      </c>
      <c r="U183" s="693" t="s">
        <v>204</v>
      </c>
      <c r="V183" s="693" t="s">
        <v>204</v>
      </c>
      <c r="W183" s="595" t="s">
        <v>1456</v>
      </c>
      <c r="X183" s="702" t="s">
        <v>1457</v>
      </c>
      <c r="Y183" s="596" t="s">
        <v>52</v>
      </c>
      <c r="Z183" s="597">
        <v>1</v>
      </c>
      <c r="AA183" s="595" t="s">
        <v>1455</v>
      </c>
      <c r="AB183" s="702" t="s">
        <v>1454</v>
      </c>
      <c r="AC183" s="594">
        <v>0</v>
      </c>
      <c r="AD183" s="706">
        <v>1</v>
      </c>
      <c r="AE183" s="693" t="s">
        <v>18</v>
      </c>
      <c r="AF183" s="693" t="s">
        <v>24</v>
      </c>
      <c r="AG183" s="693" t="s">
        <v>204</v>
      </c>
      <c r="AH183" s="693" t="s">
        <v>638</v>
      </c>
      <c r="AI183" s="693" t="s">
        <v>204</v>
      </c>
      <c r="AJ183" s="693" t="s">
        <v>204</v>
      </c>
      <c r="AK183" s="702" t="s">
        <v>1458</v>
      </c>
      <c r="AL183" s="693" t="s">
        <v>296</v>
      </c>
      <c r="AM183" s="599">
        <v>1</v>
      </c>
      <c r="AN183" s="693" t="str">
        <f>+AB183</f>
        <v>Establecer las políticas y lineamientos en las comunicaciones externas e internas de la ADRES</v>
      </c>
      <c r="AO183" s="703">
        <f t="shared" si="456"/>
        <v>0</v>
      </c>
      <c r="AP183" s="700" t="s">
        <v>48</v>
      </c>
      <c r="AQ183" s="66">
        <v>0</v>
      </c>
      <c r="AR183" s="693" t="str">
        <f t="shared" ref="AR183" si="457">+AN183</f>
        <v>Establecer las políticas y lineamientos en las comunicaciones externas e internas de la ADRES</v>
      </c>
      <c r="AS183" s="691">
        <f>+AO183/4</f>
        <v>0</v>
      </c>
      <c r="AT183" s="491"/>
      <c r="AU183" s="691"/>
      <c r="AV183" s="690" t="e">
        <f t="shared" ref="AV183" si="458">+(AT183/AQ183)</f>
        <v>#DIV/0!</v>
      </c>
      <c r="AW183" s="690" t="e">
        <f t="shared" ref="AW183" si="459">+(AU183/AS183)</f>
        <v>#DIV/0!</v>
      </c>
      <c r="AX183" s="690">
        <f t="shared" ref="AX183" si="460">+(AT183/AM183)</f>
        <v>0</v>
      </c>
      <c r="AY183" s="690" t="e">
        <f t="shared" ref="AY183" si="461">+(AU183/AO183)</f>
        <v>#DIV/0!</v>
      </c>
      <c r="AZ183" s="522"/>
      <c r="BA183" s="66">
        <v>0</v>
      </c>
      <c r="BB183" s="693" t="str">
        <f t="shared" ref="BB183" si="462">+AN183</f>
        <v>Establecer las políticas y lineamientos en las comunicaciones externas e internas de la ADRES</v>
      </c>
      <c r="BC183" s="691">
        <f>+AO183/4</f>
        <v>0</v>
      </c>
      <c r="BD183" s="716">
        <v>0</v>
      </c>
      <c r="BE183" s="691">
        <v>0</v>
      </c>
      <c r="BF183" s="690" t="e">
        <f t="shared" ref="BF183" si="463">+(BD183/BA183)</f>
        <v>#DIV/0!</v>
      </c>
      <c r="BG183" s="690" t="e">
        <f t="shared" ref="BG183" si="464">+(BE183/BC183)</f>
        <v>#DIV/0!</v>
      </c>
      <c r="BH183" s="690">
        <f t="shared" ref="BH183" si="465">+(BD183+AT183)/AM183</f>
        <v>0</v>
      </c>
      <c r="BI183" s="690" t="e">
        <f t="shared" ref="BI183" si="466">+(BE183+AU183)/AO183</f>
        <v>#DIV/0!</v>
      </c>
      <c r="BJ183" s="512"/>
      <c r="BK183" s="66">
        <v>0</v>
      </c>
      <c r="BL183" s="693" t="str">
        <f t="shared" ref="BL183" si="467">+AN183</f>
        <v>Establecer las políticas y lineamientos en las comunicaciones externas e internas de la ADRES</v>
      </c>
      <c r="BM183" s="691">
        <f>+AO183/4</f>
        <v>0</v>
      </c>
      <c r="BN183" s="695"/>
      <c r="BO183" s="695"/>
      <c r="BP183" s="690" t="e">
        <f t="shared" ref="BP183" si="468">+(BN183/BK183)</f>
        <v>#DIV/0!</v>
      </c>
      <c r="BQ183" s="690" t="e">
        <f t="shared" ref="BQ183" si="469">+(BO183/BM183)</f>
        <v>#DIV/0!</v>
      </c>
      <c r="BR183" s="690">
        <f t="shared" ref="BR183" si="470">+(BD183+AT183+BN183)/AM183</f>
        <v>0</v>
      </c>
      <c r="BS183" s="690" t="e">
        <f t="shared" ref="BS183" si="471">+(BE183+AU183+BO183)/AO183</f>
        <v>#DIV/0!</v>
      </c>
      <c r="BT183" s="690"/>
      <c r="BU183" s="66">
        <v>1</v>
      </c>
      <c r="BV183" s="693" t="str">
        <f t="shared" ref="BV183" si="472">+AN183</f>
        <v>Establecer las políticas y lineamientos en las comunicaciones externas e internas de la ADRES</v>
      </c>
      <c r="BW183" s="691">
        <f>+AO183/4</f>
        <v>0</v>
      </c>
      <c r="BX183" s="695"/>
      <c r="BY183" s="695"/>
      <c r="BZ183" s="698">
        <f t="shared" ref="BZ183" si="473">+(BX183/BU183)</f>
        <v>0</v>
      </c>
      <c r="CA183" s="698" t="e">
        <f t="shared" ref="CA183" si="474">+(BY183/BW183)</f>
        <v>#DIV/0!</v>
      </c>
      <c r="CB183" s="698">
        <f t="shared" ref="CB183" si="475">+(BD183+AT183+BN183+BX183)/AM183</f>
        <v>0</v>
      </c>
      <c r="CC183" s="698" t="e">
        <f t="shared" ref="CC183" si="476">+(BE183+AU183+BO183+BY183)/AO183</f>
        <v>#DIV/0!</v>
      </c>
      <c r="CD183" s="698"/>
      <c r="CE183" s="697" t="str">
        <f t="shared" ref="CE183" si="477">IF(AND(AQ183=0,AT183=0),"No Prog ni Ejec",IF(AQ183=0,CONCATENATE("No Prog, Ejec=  ",AT183),AT183/AQ183))</f>
        <v>No Prog ni Ejec</v>
      </c>
      <c r="CF183" s="697" t="str">
        <f t="shared" ref="CF183" si="478">IF(AND(AS183=0,AU183=0),"No Prog ni Ejec",IF(AS183=0,CONCATENATE("No Prog, Ejec=  ",AU183),AU183/AS183))</f>
        <v>No Prog ni Ejec</v>
      </c>
      <c r="CG183" s="697" t="str">
        <f t="shared" ref="CG183" si="479">IF(AND(BA183=0,BD183=0),"No Prog ni Ejec",IF(BA183=0,CONCATENATE("No Prog, Ejec=  ",BD183),BD183/BA183))</f>
        <v>No Prog ni Ejec</v>
      </c>
      <c r="CH183" s="697" t="str">
        <f t="shared" ref="CH183" si="480">IF(AND(BC183=0,BE183=0),"No Prog ni Ejec",IF(BC183=0,CONCATENATE("No Prog, Ejec=  ",BE183),BE183/BC183))</f>
        <v>No Prog ni Ejec</v>
      </c>
      <c r="CI183" s="697" t="str">
        <f t="shared" ref="CI183" si="481">IF(AND(BK183=0,BN183=0),"No Prog ni Ejec",IF(BK183=0,CONCATENATE("No Prog, Ejec=  ",BN183),BN183/BK183))</f>
        <v>No Prog ni Ejec</v>
      </c>
      <c r="CJ183" s="697" t="str">
        <f t="shared" ref="CJ183" si="482">IF(AND(BM183=0,BO183=0),"No Prog ni Ejec",IF(BM183=0,CONCATENATE("No Prog, Ejec=  ",BO183),BO183/BM183))</f>
        <v>No Prog ni Ejec</v>
      </c>
      <c r="CK183" s="697">
        <f t="shared" ref="CK183" si="483">IF(AND(BU183=0,BX183=0),"No Prog ni Ejec",IF(BU183=0,CONCATENATE("No Prog, Ejec=  ",BX183),BX183/BU183))</f>
        <v>0</v>
      </c>
      <c r="CL183" s="786" t="str">
        <f t="shared" ref="CL183" si="484">IF(AND(BW183=0,BY183=0),"No Prog ni Ejec",IF(BW183=0,CONCATENATE("No Prog, Ejec=  ",BY183),BY183/BW183))</f>
        <v>No Prog ni Ejec</v>
      </c>
      <c r="CM183" s="136">
        <f t="shared" ref="CM183" si="485">+AC183-AS183-BC183-BM183-BW183</f>
        <v>0</v>
      </c>
      <c r="CR183" s="6"/>
      <c r="CS183" s="6"/>
      <c r="CT183" s="6"/>
      <c r="CU183" s="6"/>
      <c r="CV183" s="6"/>
      <c r="CW183" s="6"/>
      <c r="CX183" s="6"/>
      <c r="CY183" s="6"/>
      <c r="CZ183" s="6"/>
      <c r="DA183" s="6"/>
      <c r="DB183" s="6"/>
      <c r="DC183" s="6"/>
    </row>
    <row r="184" spans="1:107" s="598" customFormat="1" ht="89.25" hidden="1" x14ac:dyDescent="0.25">
      <c r="A184" s="881">
        <v>11200</v>
      </c>
      <c r="B184" s="702" t="s">
        <v>1</v>
      </c>
      <c r="C184" s="702" t="s">
        <v>330</v>
      </c>
      <c r="D184" s="1"/>
      <c r="E184" s="1" t="s">
        <v>1023</v>
      </c>
      <c r="F184" s="1"/>
      <c r="G184" s="1"/>
      <c r="H184" s="1"/>
      <c r="I184" s="1"/>
      <c r="J184" s="1"/>
      <c r="K184" s="1"/>
      <c r="L184" s="1"/>
      <c r="M184" s="1"/>
      <c r="N184" s="1"/>
      <c r="O184" s="1"/>
      <c r="P184" s="1"/>
      <c r="Q184" s="693" t="s">
        <v>204</v>
      </c>
      <c r="R184" s="693" t="s">
        <v>204</v>
      </c>
      <c r="S184" s="695" t="s">
        <v>111</v>
      </c>
      <c r="T184" s="693" t="s">
        <v>94</v>
      </c>
      <c r="U184" s="693" t="s">
        <v>204</v>
      </c>
      <c r="V184" s="693" t="s">
        <v>204</v>
      </c>
      <c r="W184" s="595" t="s">
        <v>1464</v>
      </c>
      <c r="X184" s="702" t="s">
        <v>1466</v>
      </c>
      <c r="Y184" s="596" t="s">
        <v>52</v>
      </c>
      <c r="Z184" s="597">
        <v>3</v>
      </c>
      <c r="AA184" s="595" t="s">
        <v>1475</v>
      </c>
      <c r="AB184" s="702" t="s">
        <v>1465</v>
      </c>
      <c r="AC184" s="594">
        <v>0</v>
      </c>
      <c r="AD184" s="706">
        <v>1</v>
      </c>
      <c r="AE184" s="693" t="s">
        <v>18</v>
      </c>
      <c r="AF184" s="693" t="s">
        <v>24</v>
      </c>
      <c r="AG184" s="693" t="s">
        <v>204</v>
      </c>
      <c r="AH184" s="693" t="s">
        <v>638</v>
      </c>
      <c r="AI184" s="693" t="s">
        <v>204</v>
      </c>
      <c r="AJ184" s="693" t="s">
        <v>204</v>
      </c>
      <c r="AK184" s="702" t="s">
        <v>1467</v>
      </c>
      <c r="AL184" s="693" t="s">
        <v>296</v>
      </c>
      <c r="AM184" s="599">
        <v>3</v>
      </c>
      <c r="AN184" s="693" t="s">
        <v>1454</v>
      </c>
      <c r="AO184" s="703">
        <v>0</v>
      </c>
      <c r="AP184" s="66">
        <v>0</v>
      </c>
      <c r="AQ184" s="66">
        <v>0</v>
      </c>
      <c r="AR184" s="693" t="str">
        <f t="shared" ref="AR184" si="486">+AN184</f>
        <v>Establecer las políticas y lineamientos en las comunicaciones externas e internas de la ADRES</v>
      </c>
      <c r="AS184" s="691">
        <f>+AO184/4</f>
        <v>0</v>
      </c>
      <c r="AT184" s="491"/>
      <c r="AU184" s="691"/>
      <c r="AV184" s="690" t="e">
        <f t="shared" ref="AV184" si="487">+(AT184/AQ184)</f>
        <v>#DIV/0!</v>
      </c>
      <c r="AW184" s="690" t="e">
        <f t="shared" ref="AW184" si="488">+(AU184/AS184)</f>
        <v>#DIV/0!</v>
      </c>
      <c r="AX184" s="690">
        <f t="shared" ref="AX184" si="489">+(AT184/AM184)</f>
        <v>0</v>
      </c>
      <c r="AY184" s="690" t="e">
        <f t="shared" ref="AY184" si="490">+(AU184/AO184)</f>
        <v>#DIV/0!</v>
      </c>
      <c r="AZ184" s="522"/>
      <c r="BA184" s="66">
        <v>1</v>
      </c>
      <c r="BB184" s="693" t="str">
        <f t="shared" ref="BB184" si="491">+AN184</f>
        <v>Establecer las políticas y lineamientos en las comunicaciones externas e internas de la ADRES</v>
      </c>
      <c r="BC184" s="691">
        <f>+AO184/4</f>
        <v>0</v>
      </c>
      <c r="BD184" s="753">
        <v>2</v>
      </c>
      <c r="BE184" s="750">
        <v>0</v>
      </c>
      <c r="BF184" s="690">
        <f t="shared" ref="BF184" si="492">+(BD184/BA184)</f>
        <v>2</v>
      </c>
      <c r="BG184" s="690" t="e">
        <f t="shared" ref="BG184" si="493">+(BE184/BC184)</f>
        <v>#DIV/0!</v>
      </c>
      <c r="BH184" s="690">
        <f t="shared" ref="BH184" si="494">+(BD184+AT184)/AM184</f>
        <v>0.66666666666666663</v>
      </c>
      <c r="BI184" s="690" t="e">
        <f t="shared" ref="BI184" si="495">+(BE184+AU184)/AO184</f>
        <v>#DIV/0!</v>
      </c>
      <c r="BJ184" s="512"/>
      <c r="BK184" s="66">
        <v>1</v>
      </c>
      <c r="BL184" s="693" t="str">
        <f t="shared" ref="BL184" si="496">+AN184</f>
        <v>Establecer las políticas y lineamientos en las comunicaciones externas e internas de la ADRES</v>
      </c>
      <c r="BM184" s="691">
        <f>+AO184/4</f>
        <v>0</v>
      </c>
      <c r="BN184" s="695"/>
      <c r="BO184" s="695"/>
      <c r="BP184" s="690">
        <f t="shared" ref="BP184" si="497">+(BN184/BK184)</f>
        <v>0</v>
      </c>
      <c r="BQ184" s="690" t="e">
        <f t="shared" ref="BQ184" si="498">+(BO184/BM184)</f>
        <v>#DIV/0!</v>
      </c>
      <c r="BR184" s="690">
        <f t="shared" ref="BR184" si="499">+(BD184+AT184+BN184)/AM184</f>
        <v>0.66666666666666663</v>
      </c>
      <c r="BS184" s="690" t="e">
        <f t="shared" ref="BS184" si="500">+(BE184+AU184+BO184)/AO184</f>
        <v>#DIV/0!</v>
      </c>
      <c r="BT184" s="690"/>
      <c r="BU184" s="66">
        <v>1</v>
      </c>
      <c r="BV184" s="693" t="str">
        <f t="shared" ref="BV184" si="501">+AN184</f>
        <v>Establecer las políticas y lineamientos en las comunicaciones externas e internas de la ADRES</v>
      </c>
      <c r="BW184" s="691">
        <f>+AO184/4</f>
        <v>0</v>
      </c>
      <c r="BX184" s="695"/>
      <c r="BY184" s="695"/>
      <c r="BZ184" s="698">
        <f t="shared" ref="BZ184" si="502">+(BX184/BU184)</f>
        <v>0</v>
      </c>
      <c r="CA184" s="698" t="e">
        <f t="shared" ref="CA184" si="503">+(BY184/BW184)</f>
        <v>#DIV/0!</v>
      </c>
      <c r="CB184" s="698">
        <f t="shared" ref="CB184" si="504">+(BD184+AT184+BN184+BX184)/AM184</f>
        <v>0.66666666666666663</v>
      </c>
      <c r="CC184" s="698" t="e">
        <f t="shared" ref="CC184" si="505">+(BE184+AU184+BO184+BY184)/AO184</f>
        <v>#DIV/0!</v>
      </c>
      <c r="CD184" s="698"/>
      <c r="CE184" s="697" t="str">
        <f t="shared" ref="CE184" si="506">IF(AND(AQ184=0,AT184=0),"No Prog ni Ejec",IF(AQ184=0,CONCATENATE("No Prog, Ejec=  ",AT184),AT184/AQ184))</f>
        <v>No Prog ni Ejec</v>
      </c>
      <c r="CF184" s="697" t="str">
        <f t="shared" ref="CF184" si="507">IF(AND(AS184=0,AU184=0),"No Prog ni Ejec",IF(AS184=0,CONCATENATE("No Prog, Ejec=  ",AU184),AU184/AS184))</f>
        <v>No Prog ni Ejec</v>
      </c>
      <c r="CG184" s="697">
        <f t="shared" ref="CG184" si="508">IF(AND(BA184=0,BD184=0),"No Prog ni Ejec",IF(BA184=0,CONCATENATE("No Prog, Ejec=  ",BD184),BD184/BA184))</f>
        <v>2</v>
      </c>
      <c r="CH184" s="697" t="str">
        <f t="shared" ref="CH184" si="509">IF(AND(BC184=0,BE184=0),"No Prog ni Ejec",IF(BC184=0,CONCATENATE("No Prog, Ejec=  ",BE184),BE184/BC184))</f>
        <v>No Prog ni Ejec</v>
      </c>
      <c r="CI184" s="697">
        <f t="shared" ref="CI184" si="510">IF(AND(BK184=0,BN184=0),"No Prog ni Ejec",IF(BK184=0,CONCATENATE("No Prog, Ejec=  ",BN184),BN184/BK184))</f>
        <v>0</v>
      </c>
      <c r="CJ184" s="697" t="str">
        <f t="shared" ref="CJ184" si="511">IF(AND(BM184=0,BO184=0),"No Prog ni Ejec",IF(BM184=0,CONCATENATE("No Prog, Ejec=  ",BO184),BO184/BM184))</f>
        <v>No Prog ni Ejec</v>
      </c>
      <c r="CK184" s="697">
        <f t="shared" ref="CK184" si="512">IF(AND(BU184=0,BX184=0),"No Prog ni Ejec",IF(BU184=0,CONCATENATE("No Prog, Ejec=  ",BX184),BX184/BU184))</f>
        <v>0</v>
      </c>
      <c r="CL184" s="786" t="str">
        <f t="shared" ref="CL184" si="513">IF(AND(BW184=0,BY184=0),"No Prog ni Ejec",IF(BW184=0,CONCATENATE("No Prog, Ejec=  ",BY184),BY184/BW184))</f>
        <v>No Prog ni Ejec</v>
      </c>
      <c r="CM184" s="136">
        <f t="shared" ref="CM184" si="514">+AC184-AS184-BC184-BM184-BW184</f>
        <v>0</v>
      </c>
      <c r="CR184" s="6"/>
      <c r="CS184" s="6"/>
      <c r="CT184" s="6"/>
      <c r="CU184" s="6"/>
      <c r="CV184" s="6"/>
      <c r="CW184" s="6"/>
      <c r="CX184" s="6"/>
      <c r="CY184" s="6"/>
      <c r="CZ184" s="6"/>
      <c r="DA184" s="6"/>
      <c r="DB184" s="6"/>
      <c r="DC184" s="6"/>
    </row>
    <row r="185" spans="1:107" ht="89.25" hidden="1" x14ac:dyDescent="0.25">
      <c r="A185" s="881">
        <v>11200</v>
      </c>
      <c r="B185" s="702" t="s">
        <v>1</v>
      </c>
      <c r="C185" s="702" t="s">
        <v>330</v>
      </c>
      <c r="D185" s="870"/>
      <c r="E185" s="870" t="s">
        <v>1023</v>
      </c>
      <c r="F185" s="870"/>
      <c r="G185" s="870"/>
      <c r="H185" s="870"/>
      <c r="I185" s="870"/>
      <c r="J185" s="870"/>
      <c r="K185" s="870"/>
      <c r="L185" s="870"/>
      <c r="M185" s="870"/>
      <c r="N185" s="870"/>
      <c r="O185" s="870"/>
      <c r="P185" s="870"/>
      <c r="Q185" s="870" t="s">
        <v>204</v>
      </c>
      <c r="R185" s="693" t="s">
        <v>204</v>
      </c>
      <c r="S185" s="695" t="s">
        <v>111</v>
      </c>
      <c r="T185" s="693" t="s">
        <v>94</v>
      </c>
      <c r="U185" s="693" t="s">
        <v>204</v>
      </c>
      <c r="V185" s="693" t="s">
        <v>204</v>
      </c>
      <c r="W185" s="595" t="s">
        <v>1471</v>
      </c>
      <c r="X185" s="702" t="s">
        <v>1462</v>
      </c>
      <c r="Y185" s="596" t="s">
        <v>52</v>
      </c>
      <c r="Z185" s="597">
        <v>1</v>
      </c>
      <c r="AA185" s="595" t="s">
        <v>1474</v>
      </c>
      <c r="AB185" s="702" t="s">
        <v>1461</v>
      </c>
      <c r="AC185" s="594">
        <v>0</v>
      </c>
      <c r="AD185" s="706">
        <v>1</v>
      </c>
      <c r="AE185" s="693" t="s">
        <v>18</v>
      </c>
      <c r="AF185" s="693" t="s">
        <v>24</v>
      </c>
      <c r="AG185" s="693" t="s">
        <v>204</v>
      </c>
      <c r="AH185" s="693" t="s">
        <v>638</v>
      </c>
      <c r="AI185" s="693" t="s">
        <v>204</v>
      </c>
      <c r="AJ185" s="693" t="s">
        <v>204</v>
      </c>
      <c r="AK185" s="702" t="s">
        <v>1463</v>
      </c>
      <c r="AL185" s="693" t="s">
        <v>204</v>
      </c>
      <c r="AM185" s="597">
        <v>1</v>
      </c>
      <c r="AN185" s="693" t="str">
        <f>+AB185</f>
        <v>Establecer los canales, actividades, lenguajes, y demás requerimientos para fortalecer la comunicación al interior del talento humano institucional</v>
      </c>
      <c r="AO185" s="703">
        <f t="shared" ref="AO185" si="515">+AC185</f>
        <v>0</v>
      </c>
      <c r="AP185" s="700" t="s">
        <v>48</v>
      </c>
      <c r="AQ185" s="66">
        <v>0</v>
      </c>
      <c r="AR185" s="693" t="str">
        <f t="shared" ref="AR185" si="516">+AN185</f>
        <v>Establecer los canales, actividades, lenguajes, y demás requerimientos para fortalecer la comunicación al interior del talento humano institucional</v>
      </c>
      <c r="AS185" s="691">
        <f>+AO185/4</f>
        <v>0</v>
      </c>
      <c r="AT185" s="491"/>
      <c r="AU185" s="691"/>
      <c r="AV185" s="690" t="e">
        <f t="shared" ref="AV185" si="517">+(AT185/AQ185)</f>
        <v>#DIV/0!</v>
      </c>
      <c r="AW185" s="690" t="e">
        <f t="shared" ref="AW185" si="518">+(AU185/AS185)</f>
        <v>#DIV/0!</v>
      </c>
      <c r="AX185" s="690">
        <f t="shared" ref="AX185" si="519">+(AT185/AM185)</f>
        <v>0</v>
      </c>
      <c r="AY185" s="690" t="e">
        <f t="shared" ref="AY185" si="520">+(AU185/AO185)</f>
        <v>#DIV/0!</v>
      </c>
      <c r="AZ185" s="522"/>
      <c r="BA185" s="66">
        <v>0</v>
      </c>
      <c r="BB185" s="693" t="str">
        <f t="shared" ref="BB185" si="521">+AN185</f>
        <v>Establecer los canales, actividades, lenguajes, y demás requerimientos para fortalecer la comunicación al interior del talento humano institucional</v>
      </c>
      <c r="BC185" s="691">
        <f>+AO185/4</f>
        <v>0</v>
      </c>
      <c r="BD185" s="716">
        <v>0</v>
      </c>
      <c r="BE185" s="691">
        <v>0</v>
      </c>
      <c r="BF185" s="690" t="e">
        <f t="shared" ref="BF185" si="522">+(BD185/BA185)</f>
        <v>#DIV/0!</v>
      </c>
      <c r="BG185" s="690" t="e">
        <f t="shared" ref="BG185" si="523">+(BE185/BC185)</f>
        <v>#DIV/0!</v>
      </c>
      <c r="BH185" s="690">
        <f t="shared" ref="BH185" si="524">+(BD185+AT185)/AM185</f>
        <v>0</v>
      </c>
      <c r="BI185" s="690" t="e">
        <f t="shared" ref="BI185" si="525">+(BE185+AU185)/AO185</f>
        <v>#DIV/0!</v>
      </c>
      <c r="BJ185" s="512"/>
      <c r="BK185" s="66">
        <v>0</v>
      </c>
      <c r="BL185" s="693" t="str">
        <f t="shared" ref="BL185" si="526">+AN185</f>
        <v>Establecer los canales, actividades, lenguajes, y demás requerimientos para fortalecer la comunicación al interior del talento humano institucional</v>
      </c>
      <c r="BM185" s="691">
        <f>+AO185/4</f>
        <v>0</v>
      </c>
      <c r="BN185" s="695"/>
      <c r="BO185" s="695"/>
      <c r="BP185" s="690" t="e">
        <f t="shared" ref="BP185" si="527">+(BN185/BK185)</f>
        <v>#DIV/0!</v>
      </c>
      <c r="BQ185" s="690" t="e">
        <f t="shared" ref="BQ185" si="528">+(BO185/BM185)</f>
        <v>#DIV/0!</v>
      </c>
      <c r="BR185" s="690">
        <f t="shared" ref="BR185" si="529">+(BD185+AT185+BN185)/AM185</f>
        <v>0</v>
      </c>
      <c r="BS185" s="690" t="e">
        <f t="shared" ref="BS185" si="530">+(BE185+AU185+BO185)/AO185</f>
        <v>#DIV/0!</v>
      </c>
      <c r="BT185" s="690"/>
      <c r="BU185" s="66">
        <v>1</v>
      </c>
      <c r="BV185" s="693" t="str">
        <f t="shared" ref="BV185" si="531">+AN185</f>
        <v>Establecer los canales, actividades, lenguajes, y demás requerimientos para fortalecer la comunicación al interior del talento humano institucional</v>
      </c>
      <c r="BW185" s="691">
        <f>+AO185/4</f>
        <v>0</v>
      </c>
      <c r="BX185" s="695"/>
      <c r="BY185" s="695"/>
      <c r="BZ185" s="698">
        <f t="shared" ref="BZ185" si="532">+(BX185/BU185)</f>
        <v>0</v>
      </c>
      <c r="CA185" s="698" t="e">
        <f t="shared" ref="CA185" si="533">+(BY185/BW185)</f>
        <v>#DIV/0!</v>
      </c>
      <c r="CB185" s="698">
        <f t="shared" ref="CB185" si="534">+(BD185+AT185+BN185+BX185)/AM185</f>
        <v>0</v>
      </c>
      <c r="CC185" s="698" t="e">
        <f t="shared" ref="CC185" si="535">+(BE185+AU185+BO185+BY185)/AO185</f>
        <v>#DIV/0!</v>
      </c>
      <c r="CD185" s="698"/>
      <c r="CE185" s="697" t="str">
        <f t="shared" ref="CE185" si="536">IF(AND(AQ185=0,AT185=0),"No Prog ni Ejec",IF(AQ185=0,CONCATENATE("No Prog, Ejec=  ",AT185),AT185/AQ185))</f>
        <v>No Prog ni Ejec</v>
      </c>
      <c r="CF185" s="697" t="str">
        <f t="shared" ref="CF185" si="537">IF(AND(AS185=0,AU185=0),"No Prog ni Ejec",IF(AS185=0,CONCATENATE("No Prog, Ejec=  ",AU185),AU185/AS185))</f>
        <v>No Prog ni Ejec</v>
      </c>
      <c r="CG185" s="697" t="str">
        <f t="shared" ref="CG185" si="538">IF(AND(BA185=0,BD185=0),"No Prog ni Ejec",IF(BA185=0,CONCATENATE("No Prog, Ejec=  ",BD185),BD185/BA185))</f>
        <v>No Prog ni Ejec</v>
      </c>
      <c r="CH185" s="697" t="str">
        <f t="shared" ref="CH185" si="539">IF(AND(BC185=0,BE185=0),"No Prog ni Ejec",IF(BC185=0,CONCATENATE("No Prog, Ejec=  ",BE185),BE185/BC185))</f>
        <v>No Prog ni Ejec</v>
      </c>
      <c r="CI185" s="697" t="str">
        <f t="shared" ref="CI185" si="540">IF(AND(BK185=0,BN185=0),"No Prog ni Ejec",IF(BK185=0,CONCATENATE("No Prog, Ejec=  ",BN185),BN185/BK185))</f>
        <v>No Prog ni Ejec</v>
      </c>
      <c r="CJ185" s="697" t="str">
        <f t="shared" ref="CJ185" si="541">IF(AND(BM185=0,BO185=0),"No Prog ni Ejec",IF(BM185=0,CONCATENATE("No Prog, Ejec=  ",BO185),BO185/BM185))</f>
        <v>No Prog ni Ejec</v>
      </c>
      <c r="CK185" s="697">
        <f t="shared" ref="CK185" si="542">IF(AND(BU185=0,BX185=0),"No Prog ni Ejec",IF(BU185=0,CONCATENATE("No Prog, Ejec=  ",BX185),BX185/BU185))</f>
        <v>0</v>
      </c>
      <c r="CL185" s="786" t="str">
        <f t="shared" ref="CL185" si="543">IF(AND(BW185=0,BY185=0),"No Prog ni Ejec",IF(BW185=0,CONCATENATE("No Prog, Ejec=  ",BY185),BY185/BW185))</f>
        <v>No Prog ni Ejec</v>
      </c>
    </row>
    <row r="186" spans="1:107" ht="89.25" hidden="1" x14ac:dyDescent="0.25">
      <c r="A186" s="881">
        <v>11200</v>
      </c>
      <c r="B186" s="702" t="s">
        <v>1</v>
      </c>
      <c r="C186" s="702" t="s">
        <v>330</v>
      </c>
      <c r="D186" s="870"/>
      <c r="E186" s="870" t="s">
        <v>1023</v>
      </c>
      <c r="F186" s="870"/>
      <c r="G186" s="870"/>
      <c r="H186" s="870"/>
      <c r="I186" s="870"/>
      <c r="J186" s="870"/>
      <c r="K186" s="870"/>
      <c r="L186" s="870"/>
      <c r="M186" s="870"/>
      <c r="N186" s="870"/>
      <c r="O186" s="870"/>
      <c r="P186" s="870"/>
      <c r="Q186" s="870" t="s">
        <v>204</v>
      </c>
      <c r="R186" s="693" t="s">
        <v>204</v>
      </c>
      <c r="S186" s="695" t="s">
        <v>111</v>
      </c>
      <c r="T186" s="693" t="s">
        <v>94</v>
      </c>
      <c r="U186" s="693" t="s">
        <v>204</v>
      </c>
      <c r="V186" s="693" t="s">
        <v>204</v>
      </c>
      <c r="W186" s="595" t="s">
        <v>1472</v>
      </c>
      <c r="X186" s="702" t="s">
        <v>1469</v>
      </c>
      <c r="Y186" s="596" t="s">
        <v>52</v>
      </c>
      <c r="Z186" s="597">
        <v>1</v>
      </c>
      <c r="AA186" s="595" t="s">
        <v>1473</v>
      </c>
      <c r="AB186" s="702" t="s">
        <v>1468</v>
      </c>
      <c r="AC186" s="594">
        <v>0</v>
      </c>
      <c r="AD186" s="706">
        <v>1</v>
      </c>
      <c r="AE186" s="693" t="s">
        <v>18</v>
      </c>
      <c r="AF186" s="693" t="s">
        <v>24</v>
      </c>
      <c r="AG186" s="693" t="s">
        <v>204</v>
      </c>
      <c r="AH186" s="693" t="s">
        <v>638</v>
      </c>
      <c r="AI186" s="693" t="s">
        <v>204</v>
      </c>
      <c r="AJ186" s="693" t="s">
        <v>204</v>
      </c>
      <c r="AK186" s="702" t="s">
        <v>1470</v>
      </c>
      <c r="AL186" s="693" t="s">
        <v>204</v>
      </c>
      <c r="AM186" s="597">
        <v>1</v>
      </c>
      <c r="AN186" s="693" t="str">
        <f>+AB186</f>
        <v>Establecer los canales, actividades, temáticas y lenguajes, y demás requerimientos para fortalecer la comunicación digital de la entidad.</v>
      </c>
      <c r="AO186" s="703">
        <f t="shared" ref="AO186" si="544">+AC186</f>
        <v>0</v>
      </c>
      <c r="AP186" s="700" t="s">
        <v>48</v>
      </c>
      <c r="AQ186" s="66">
        <v>0</v>
      </c>
      <c r="AR186" s="693" t="str">
        <f t="shared" ref="AR186:AR188" si="545">+AN186</f>
        <v>Establecer los canales, actividades, temáticas y lenguajes, y demás requerimientos para fortalecer la comunicación digital de la entidad.</v>
      </c>
      <c r="AS186" s="691">
        <f>+AO186/4</f>
        <v>0</v>
      </c>
      <c r="AT186" s="491"/>
      <c r="AU186" s="691"/>
      <c r="AV186" s="690" t="e">
        <f t="shared" ref="AV186:AV188" si="546">+(AT186/AQ186)</f>
        <v>#DIV/0!</v>
      </c>
      <c r="AW186" s="690" t="e">
        <f t="shared" ref="AW186:AW188" si="547">+(AU186/AS186)</f>
        <v>#DIV/0!</v>
      </c>
      <c r="AX186" s="690">
        <f t="shared" ref="AX186:AX188" si="548">+(AT186/AM186)</f>
        <v>0</v>
      </c>
      <c r="AY186" s="690" t="e">
        <f t="shared" ref="AY186:AY188" si="549">+(AU186/AO186)</f>
        <v>#DIV/0!</v>
      </c>
      <c r="AZ186" s="522"/>
      <c r="BA186" s="66">
        <v>0</v>
      </c>
      <c r="BB186" s="693" t="str">
        <f t="shared" ref="BB186:BB188" si="550">+AN186</f>
        <v>Establecer los canales, actividades, temáticas y lenguajes, y demás requerimientos para fortalecer la comunicación digital de la entidad.</v>
      </c>
      <c r="BC186" s="691">
        <f>+AO186/4</f>
        <v>0</v>
      </c>
      <c r="BD186" s="716">
        <v>0</v>
      </c>
      <c r="BE186" s="691">
        <v>0</v>
      </c>
      <c r="BF186" s="690" t="e">
        <f t="shared" ref="BF186:BF188" si="551">+(BD186/BA186)</f>
        <v>#DIV/0!</v>
      </c>
      <c r="BG186" s="690" t="e">
        <f t="shared" ref="BG186:BG188" si="552">+(BE186/BC186)</f>
        <v>#DIV/0!</v>
      </c>
      <c r="BH186" s="690">
        <f t="shared" ref="BH186:BH188" si="553">+(BD186+AT186)/AM186</f>
        <v>0</v>
      </c>
      <c r="BI186" s="690" t="e">
        <f t="shared" ref="BI186:BI188" si="554">+(BE186+AU186)/AO186</f>
        <v>#DIV/0!</v>
      </c>
      <c r="BJ186" s="512"/>
      <c r="BK186" s="66">
        <v>1</v>
      </c>
      <c r="BL186" s="693" t="str">
        <f t="shared" ref="BL186:BL188" si="555">+AN186</f>
        <v>Establecer los canales, actividades, temáticas y lenguajes, y demás requerimientos para fortalecer la comunicación digital de la entidad.</v>
      </c>
      <c r="BM186" s="691">
        <f>+AO186/4</f>
        <v>0</v>
      </c>
      <c r="BN186" s="695"/>
      <c r="BO186" s="695"/>
      <c r="BP186" s="690">
        <f t="shared" ref="BP186:BP188" si="556">+(BN186/BK186)</f>
        <v>0</v>
      </c>
      <c r="BQ186" s="690" t="e">
        <f t="shared" ref="BQ186:BQ188" si="557">+(BO186/BM186)</f>
        <v>#DIV/0!</v>
      </c>
      <c r="BR186" s="690">
        <f t="shared" ref="BR186:BR188" si="558">+(BD186+AT186+BN186)/AM186</f>
        <v>0</v>
      </c>
      <c r="BS186" s="690" t="e">
        <f t="shared" ref="BS186:BS188" si="559">+(BE186+AU186+BO186)/AO186</f>
        <v>#DIV/0!</v>
      </c>
      <c r="BT186" s="690"/>
      <c r="BU186" s="66">
        <v>0</v>
      </c>
      <c r="BV186" s="693" t="str">
        <f t="shared" ref="BV186:BV188" si="560">+AN186</f>
        <v>Establecer los canales, actividades, temáticas y lenguajes, y demás requerimientos para fortalecer la comunicación digital de la entidad.</v>
      </c>
      <c r="BW186" s="691">
        <f>+AO186/4</f>
        <v>0</v>
      </c>
      <c r="BX186" s="695"/>
      <c r="BY186" s="695"/>
      <c r="BZ186" s="698" t="e">
        <f t="shared" ref="BZ186:BZ188" si="561">+(BX186/BU186)</f>
        <v>#DIV/0!</v>
      </c>
      <c r="CA186" s="698" t="e">
        <f t="shared" ref="CA186:CA187" si="562">+(BY186/BW186)</f>
        <v>#DIV/0!</v>
      </c>
      <c r="CB186" s="698">
        <f t="shared" ref="CB186:CB188" si="563">+(BD186+AT186+BN186+BX186)/AM186</f>
        <v>0</v>
      </c>
      <c r="CC186" s="698" t="e">
        <f t="shared" ref="CC186:CC187" si="564">+(BE186+AU186+BO186+BY186)/AO186</f>
        <v>#DIV/0!</v>
      </c>
      <c r="CD186" s="698"/>
      <c r="CE186" s="697" t="str">
        <f t="shared" ref="CE186:CE188" si="565">IF(AND(AQ186=0,AT186=0),"No Prog ni Ejec",IF(AQ186=0,CONCATENATE("No Prog, Ejec=  ",AT186),AT186/AQ186))</f>
        <v>No Prog ni Ejec</v>
      </c>
      <c r="CF186" s="697" t="str">
        <f t="shared" ref="CF186:CF188" si="566">IF(AND(AS186=0,AU186=0),"No Prog ni Ejec",IF(AS186=0,CONCATENATE("No Prog, Ejec=  ",AU186),AU186/AS186))</f>
        <v>No Prog ni Ejec</v>
      </c>
      <c r="CG186" s="697" t="str">
        <f t="shared" ref="CG186:CG188" si="567">IF(AND(BA186=0,BD186=0),"No Prog ni Ejec",IF(BA186=0,CONCATENATE("No Prog, Ejec=  ",BD186),BD186/BA186))</f>
        <v>No Prog ni Ejec</v>
      </c>
      <c r="CH186" s="697" t="str">
        <f t="shared" ref="CH186:CH188" si="568">IF(AND(BC186=0,BE186=0),"No Prog ni Ejec",IF(BC186=0,CONCATENATE("No Prog, Ejec=  ",BE186),BE186/BC186))</f>
        <v>No Prog ni Ejec</v>
      </c>
      <c r="CI186" s="697">
        <f t="shared" ref="CI186:CI188" si="569">IF(AND(BK186=0,BN186=0),"No Prog ni Ejec",IF(BK186=0,CONCATENATE("No Prog, Ejec=  ",BN186),BN186/BK186))</f>
        <v>0</v>
      </c>
      <c r="CJ186" s="697" t="str">
        <f t="shared" ref="CJ186:CJ188" si="570">IF(AND(BM186=0,BO186=0),"No Prog ni Ejec",IF(BM186=0,CONCATENATE("No Prog, Ejec=  ",BO186),BO186/BM186))</f>
        <v>No Prog ni Ejec</v>
      </c>
      <c r="CK186" s="697" t="str">
        <f t="shared" ref="CK186:CK188" si="571">IF(AND(BU186=0,BX186=0),"No Prog ni Ejec",IF(BU186=0,CONCATENATE("No Prog, Ejec=  ",BX186),BX186/BU186))</f>
        <v>No Prog ni Ejec</v>
      </c>
      <c r="CL186" s="786" t="str">
        <f t="shared" ref="CL186:CL188" si="572">IF(AND(BW186=0,BY186=0),"No Prog ni Ejec",IF(BW186=0,CONCATENATE("No Prog, Ejec=  ",BY186),BY186/BW186))</f>
        <v>No Prog ni Ejec</v>
      </c>
    </row>
    <row r="187" spans="1:107" ht="102" hidden="1" x14ac:dyDescent="0.25">
      <c r="A187" s="785">
        <v>11500</v>
      </c>
      <c r="B187" s="693" t="s">
        <v>13</v>
      </c>
      <c r="C187" s="693" t="s">
        <v>336</v>
      </c>
      <c r="D187" s="746" t="s">
        <v>1023</v>
      </c>
      <c r="E187" s="746"/>
      <c r="F187" s="746"/>
      <c r="G187" s="746"/>
      <c r="H187" s="746"/>
      <c r="I187" s="746"/>
      <c r="J187" s="746"/>
      <c r="K187" s="746"/>
      <c r="L187" s="746"/>
      <c r="M187" s="746"/>
      <c r="N187" s="746"/>
      <c r="O187" s="746"/>
      <c r="P187" s="746"/>
      <c r="Q187" s="693" t="s">
        <v>1135</v>
      </c>
      <c r="R187" s="693" t="s">
        <v>1746</v>
      </c>
      <c r="S187" s="695" t="s">
        <v>96</v>
      </c>
      <c r="T187" s="693" t="s">
        <v>94</v>
      </c>
      <c r="U187" s="693" t="s">
        <v>204</v>
      </c>
      <c r="V187" s="693" t="s">
        <v>204</v>
      </c>
      <c r="W187" s="695" t="s">
        <v>107</v>
      </c>
      <c r="X187" s="724" t="s">
        <v>1072</v>
      </c>
      <c r="Y187" s="716" t="s">
        <v>408</v>
      </c>
      <c r="Z187" s="74">
        <v>1</v>
      </c>
      <c r="AA187" s="695" t="s">
        <v>97</v>
      </c>
      <c r="AB187" s="693" t="s">
        <v>1071</v>
      </c>
      <c r="AC187" s="722">
        <v>0</v>
      </c>
      <c r="AD187" s="706">
        <v>1</v>
      </c>
      <c r="AE187" s="693" t="s">
        <v>17</v>
      </c>
      <c r="AF187" s="693" t="s">
        <v>299</v>
      </c>
      <c r="AG187" s="693" t="s">
        <v>204</v>
      </c>
      <c r="AH187" s="693" t="s">
        <v>638</v>
      </c>
      <c r="AI187" s="693" t="s">
        <v>71</v>
      </c>
      <c r="AJ187" s="693" t="s">
        <v>204</v>
      </c>
      <c r="AK187" s="693" t="s">
        <v>1070</v>
      </c>
      <c r="AL187" s="693" t="s">
        <v>42</v>
      </c>
      <c r="AM187" s="73">
        <v>1</v>
      </c>
      <c r="AN187" s="725" t="str">
        <f>+AB187</f>
        <v>Racionalizar el trámite “Reconocimiento y pago de prestaciones por concepto de atenciones médico-quirúrgicas a víctimas de eventos catastróficos, terroristas y de accidentes de tránsito” a través de la revisión y mejoramiento del formato FURPEN.</v>
      </c>
      <c r="AO187" s="159">
        <f>+AC187</f>
        <v>0</v>
      </c>
      <c r="AP187" s="700" t="s">
        <v>48</v>
      </c>
      <c r="AQ187" s="73">
        <v>0</v>
      </c>
      <c r="AR187" s="693" t="str">
        <f t="shared" si="545"/>
        <v>Racionalizar el trámite “Reconocimiento y pago de prestaciones por concepto de atenciones médico-quirúrgicas a víctimas de eventos catastróficos, terroristas y de accidentes de tránsito” a través de la revisión y mejoramiento del formato FURPEN.</v>
      </c>
      <c r="AS187" s="691">
        <f>+AO187/4</f>
        <v>0</v>
      </c>
      <c r="AT187" s="491">
        <v>0</v>
      </c>
      <c r="AU187" s="709">
        <v>0</v>
      </c>
      <c r="AV187" s="690" t="e">
        <f t="shared" si="546"/>
        <v>#DIV/0!</v>
      </c>
      <c r="AW187" s="690" t="e">
        <f t="shared" si="547"/>
        <v>#DIV/0!</v>
      </c>
      <c r="AX187" s="690">
        <f t="shared" si="548"/>
        <v>0</v>
      </c>
      <c r="AY187" s="690" t="e">
        <f t="shared" si="549"/>
        <v>#DIV/0!</v>
      </c>
      <c r="AZ187" s="747"/>
      <c r="BA187" s="73">
        <v>0</v>
      </c>
      <c r="BB187" s="693" t="str">
        <f t="shared" si="550"/>
        <v>Racionalizar el trámite “Reconocimiento y pago de prestaciones por concepto de atenciones médico-quirúrgicas a víctimas de eventos catastróficos, terroristas y de accidentes de tránsito” a través de la revisión y mejoramiento del formato FURPEN.</v>
      </c>
      <c r="BC187" s="691">
        <f>+AO187/4</f>
        <v>0</v>
      </c>
      <c r="BD187" s="716">
        <v>0</v>
      </c>
      <c r="BE187" s="691">
        <v>0</v>
      </c>
      <c r="BF187" s="690" t="e">
        <f t="shared" si="551"/>
        <v>#DIV/0!</v>
      </c>
      <c r="BG187" s="690" t="e">
        <f t="shared" si="552"/>
        <v>#DIV/0!</v>
      </c>
      <c r="BH187" s="690">
        <f t="shared" si="553"/>
        <v>0</v>
      </c>
      <c r="BI187" s="690" t="e">
        <f t="shared" si="554"/>
        <v>#DIV/0!</v>
      </c>
      <c r="BJ187" s="693" t="s">
        <v>1717</v>
      </c>
      <c r="BK187" s="73">
        <v>0</v>
      </c>
      <c r="BL187" s="693" t="str">
        <f t="shared" si="555"/>
        <v>Racionalizar el trámite “Reconocimiento y pago de prestaciones por concepto de atenciones médico-quirúrgicas a víctimas de eventos catastróficos, terroristas y de accidentes de tránsito” a través de la revisión y mejoramiento del formato FURPEN.</v>
      </c>
      <c r="BM187" s="691">
        <f>+AO187/4</f>
        <v>0</v>
      </c>
      <c r="BN187" s="695"/>
      <c r="BO187" s="695"/>
      <c r="BP187" s="690" t="e">
        <f t="shared" si="556"/>
        <v>#DIV/0!</v>
      </c>
      <c r="BQ187" s="690" t="e">
        <f t="shared" si="557"/>
        <v>#DIV/0!</v>
      </c>
      <c r="BR187" s="690">
        <f t="shared" si="558"/>
        <v>0</v>
      </c>
      <c r="BS187" s="690" t="e">
        <f t="shared" si="559"/>
        <v>#DIV/0!</v>
      </c>
      <c r="BT187" s="79"/>
      <c r="BU187" s="73">
        <v>1</v>
      </c>
      <c r="BV187" s="693" t="str">
        <f t="shared" si="560"/>
        <v>Racionalizar el trámite “Reconocimiento y pago de prestaciones por concepto de atenciones médico-quirúrgicas a víctimas de eventos catastróficos, terroristas y de accidentes de tránsito” a través de la revisión y mejoramiento del formato FURPEN.</v>
      </c>
      <c r="BW187" s="691">
        <f>+AO187/4</f>
        <v>0</v>
      </c>
      <c r="BX187" s="695"/>
      <c r="BY187" s="695"/>
      <c r="BZ187" s="698">
        <f t="shared" si="561"/>
        <v>0</v>
      </c>
      <c r="CA187" s="698" t="e">
        <f t="shared" si="562"/>
        <v>#DIV/0!</v>
      </c>
      <c r="CB187" s="698">
        <f t="shared" si="563"/>
        <v>0</v>
      </c>
      <c r="CC187" s="698" t="e">
        <f t="shared" si="564"/>
        <v>#DIV/0!</v>
      </c>
      <c r="CD187" s="79"/>
      <c r="CE187" s="697" t="str">
        <f t="shared" si="565"/>
        <v>No Prog ni Ejec</v>
      </c>
      <c r="CF187" s="697" t="str">
        <f t="shared" si="566"/>
        <v>No Prog ni Ejec</v>
      </c>
      <c r="CG187" s="697" t="str">
        <f t="shared" si="567"/>
        <v>No Prog ni Ejec</v>
      </c>
      <c r="CH187" s="697" t="str">
        <f t="shared" si="568"/>
        <v>No Prog ni Ejec</v>
      </c>
      <c r="CI187" s="697" t="str">
        <f t="shared" si="569"/>
        <v>No Prog ni Ejec</v>
      </c>
      <c r="CJ187" s="697" t="str">
        <f t="shared" si="570"/>
        <v>No Prog ni Ejec</v>
      </c>
      <c r="CK187" s="697">
        <f t="shared" si="571"/>
        <v>0</v>
      </c>
      <c r="CL187" s="786" t="str">
        <f t="shared" si="572"/>
        <v>No Prog ni Ejec</v>
      </c>
      <c r="CM187" s="136">
        <f t="shared" ref="CM187:CM188" si="573">+AC187-AS187-BC187-BM187-BW187</f>
        <v>0</v>
      </c>
    </row>
    <row r="188" spans="1:107" s="598" customFormat="1" ht="128.25" hidden="1" thickBot="1" x14ac:dyDescent="0.3">
      <c r="A188" s="789">
        <v>11700</v>
      </c>
      <c r="B188" s="790" t="s">
        <v>14</v>
      </c>
      <c r="C188" s="790" t="s">
        <v>675</v>
      </c>
      <c r="D188" s="882"/>
      <c r="E188" s="882"/>
      <c r="F188" s="882"/>
      <c r="G188" s="882" t="s">
        <v>1023</v>
      </c>
      <c r="H188" s="882"/>
      <c r="I188" s="882" t="s">
        <v>1023</v>
      </c>
      <c r="J188" s="882"/>
      <c r="K188" s="882"/>
      <c r="L188" s="882" t="s">
        <v>1023</v>
      </c>
      <c r="M188" s="882"/>
      <c r="N188" s="882"/>
      <c r="O188" s="882"/>
      <c r="P188" s="882"/>
      <c r="Q188" s="882" t="s">
        <v>204</v>
      </c>
      <c r="R188" s="798" t="s">
        <v>204</v>
      </c>
      <c r="S188" s="833" t="s">
        <v>111</v>
      </c>
      <c r="T188" s="798" t="s">
        <v>94</v>
      </c>
      <c r="U188" s="798" t="s">
        <v>204</v>
      </c>
      <c r="V188" s="798" t="s">
        <v>204</v>
      </c>
      <c r="W188" s="792" t="s">
        <v>745</v>
      </c>
      <c r="X188" s="790" t="s">
        <v>697</v>
      </c>
      <c r="Y188" s="794" t="s">
        <v>391</v>
      </c>
      <c r="Z188" s="883">
        <v>1</v>
      </c>
      <c r="AA188" s="792" t="s">
        <v>723</v>
      </c>
      <c r="AB188" s="790" t="s">
        <v>690</v>
      </c>
      <c r="AC188" s="884">
        <v>0</v>
      </c>
      <c r="AD188" s="797">
        <v>1</v>
      </c>
      <c r="AE188" s="798" t="s">
        <v>18</v>
      </c>
      <c r="AF188" s="798" t="s">
        <v>24</v>
      </c>
      <c r="AG188" s="798" t="s">
        <v>204</v>
      </c>
      <c r="AH188" s="798" t="s">
        <v>638</v>
      </c>
      <c r="AI188" s="798" t="s">
        <v>204</v>
      </c>
      <c r="AJ188" s="798" t="s">
        <v>1288</v>
      </c>
      <c r="AK188" s="885" t="s">
        <v>706</v>
      </c>
      <c r="AL188" s="798" t="s">
        <v>43</v>
      </c>
      <c r="AM188" s="883">
        <v>1</v>
      </c>
      <c r="AN188" s="798" t="str">
        <f>+AB188</f>
        <v>Divulgar el Plan de Emergencias</v>
      </c>
      <c r="AO188" s="839">
        <f t="shared" ref="AO188" si="574">+AC188</f>
        <v>0</v>
      </c>
      <c r="AP188" s="837" t="s">
        <v>48</v>
      </c>
      <c r="AQ188" s="836">
        <v>0</v>
      </c>
      <c r="AR188" s="798" t="str">
        <f t="shared" si="545"/>
        <v>Divulgar el Plan de Emergencias</v>
      </c>
      <c r="AS188" s="838">
        <v>0</v>
      </c>
      <c r="AT188" s="833">
        <v>0</v>
      </c>
      <c r="AU188" s="886">
        <v>0</v>
      </c>
      <c r="AV188" s="843" t="e">
        <f t="shared" si="546"/>
        <v>#DIV/0!</v>
      </c>
      <c r="AW188" s="843" t="e">
        <f t="shared" si="547"/>
        <v>#DIV/0!</v>
      </c>
      <c r="AX188" s="843">
        <f t="shared" si="548"/>
        <v>0</v>
      </c>
      <c r="AY188" s="843" t="e">
        <f t="shared" si="549"/>
        <v>#DIV/0!</v>
      </c>
      <c r="AZ188" s="887" t="s">
        <v>1323</v>
      </c>
      <c r="BA188" s="836">
        <v>0</v>
      </c>
      <c r="BB188" s="798" t="str">
        <f t="shared" si="550"/>
        <v>Divulgar el Plan de Emergencias</v>
      </c>
      <c r="BC188" s="838">
        <v>0</v>
      </c>
      <c r="BD188" s="835">
        <v>0</v>
      </c>
      <c r="BE188" s="838">
        <v>0</v>
      </c>
      <c r="BF188" s="843" t="e">
        <f t="shared" si="551"/>
        <v>#DIV/0!</v>
      </c>
      <c r="BG188" s="843" t="e">
        <f t="shared" si="552"/>
        <v>#DIV/0!</v>
      </c>
      <c r="BH188" s="843">
        <f t="shared" si="553"/>
        <v>0</v>
      </c>
      <c r="BI188" s="888" t="e">
        <f t="shared" si="554"/>
        <v>#DIV/0!</v>
      </c>
      <c r="BJ188" s="889" t="s">
        <v>1676</v>
      </c>
      <c r="BK188" s="836">
        <v>1</v>
      </c>
      <c r="BL188" s="798" t="str">
        <f t="shared" si="555"/>
        <v>Divulgar el Plan de Emergencias</v>
      </c>
      <c r="BM188" s="838">
        <v>0</v>
      </c>
      <c r="BN188" s="833"/>
      <c r="BO188" s="833"/>
      <c r="BP188" s="843">
        <f t="shared" si="556"/>
        <v>0</v>
      </c>
      <c r="BQ188" s="843" t="e">
        <f t="shared" si="557"/>
        <v>#DIV/0!</v>
      </c>
      <c r="BR188" s="843">
        <f t="shared" si="558"/>
        <v>0</v>
      </c>
      <c r="BS188" s="888" t="e">
        <f t="shared" si="559"/>
        <v>#DIV/0!</v>
      </c>
      <c r="BT188" s="843"/>
      <c r="BU188" s="890">
        <v>0</v>
      </c>
      <c r="BV188" s="798" t="str">
        <f t="shared" si="560"/>
        <v>Divulgar el Plan de Emergencias</v>
      </c>
      <c r="BW188" s="838">
        <v>0</v>
      </c>
      <c r="BX188" s="833"/>
      <c r="BY188" s="833"/>
      <c r="BZ188" s="850" t="e">
        <f t="shared" si="561"/>
        <v>#DIV/0!</v>
      </c>
      <c r="CA188" s="850" t="e">
        <f>+(BY166/BW166)</f>
        <v>#DIV/0!</v>
      </c>
      <c r="CB188" s="850">
        <f t="shared" si="563"/>
        <v>0</v>
      </c>
      <c r="CC188" s="891" t="e">
        <f>+(BE166+AU166+BO166+BY166)/AO166</f>
        <v>#DIV/0!</v>
      </c>
      <c r="CD188" s="850"/>
      <c r="CE188" s="892" t="str">
        <f t="shared" si="565"/>
        <v>No Prog ni Ejec</v>
      </c>
      <c r="CF188" s="892" t="str">
        <f t="shared" si="566"/>
        <v>No Prog ni Ejec</v>
      </c>
      <c r="CG188" s="892" t="str">
        <f t="shared" si="567"/>
        <v>No Prog ni Ejec</v>
      </c>
      <c r="CH188" s="892" t="str">
        <f t="shared" si="568"/>
        <v>No Prog ni Ejec</v>
      </c>
      <c r="CI188" s="892">
        <f t="shared" si="569"/>
        <v>0</v>
      </c>
      <c r="CJ188" s="892" t="str">
        <f t="shared" si="570"/>
        <v>No Prog ni Ejec</v>
      </c>
      <c r="CK188" s="892" t="str">
        <f t="shared" si="571"/>
        <v>No Prog ni Ejec</v>
      </c>
      <c r="CL188" s="893" t="str">
        <f t="shared" si="572"/>
        <v>No Prog ni Ejec</v>
      </c>
      <c r="CM188" s="598">
        <f t="shared" si="573"/>
        <v>0</v>
      </c>
      <c r="CR188" s="6"/>
      <c r="CS188" s="6"/>
      <c r="CT188" s="6"/>
      <c r="CU188" s="6"/>
      <c r="CV188" s="6"/>
      <c r="CW188" s="6"/>
      <c r="CX188" s="6"/>
      <c r="CY188" s="6"/>
      <c r="CZ188" s="6"/>
      <c r="DA188" s="6"/>
      <c r="DB188" s="6"/>
      <c r="DC188" s="6"/>
    </row>
    <row r="189" spans="1:107" s="598" customFormat="1" x14ac:dyDescent="0.25">
      <c r="A189" s="653"/>
      <c r="B189" s="473"/>
      <c r="C189" s="473"/>
      <c r="D189"/>
      <c r="E189"/>
      <c r="F189"/>
      <c r="G189"/>
      <c r="H189"/>
      <c r="I189"/>
      <c r="J189"/>
      <c r="K189"/>
      <c r="L189"/>
      <c r="M189"/>
      <c r="N189"/>
      <c r="O189"/>
      <c r="P189"/>
      <c r="Q189"/>
      <c r="R189"/>
      <c r="S189"/>
      <c r="T189"/>
      <c r="U189"/>
      <c r="V189" s="853"/>
      <c r="W189" s="653"/>
      <c r="X189" s="473"/>
      <c r="Y189" s="654"/>
      <c r="Z189" s="655"/>
      <c r="AA189" s="653"/>
      <c r="AB189" s="473"/>
      <c r="AC189" s="656"/>
      <c r="AD189"/>
      <c r="AE189"/>
      <c r="AF189"/>
      <c r="AG189"/>
      <c r="AH189"/>
      <c r="AI189"/>
      <c r="AJ189"/>
      <c r="AK189" s="657"/>
      <c r="AL189"/>
      <c r="AM189" s="655"/>
      <c r="AN189" s="657"/>
      <c r="AO189" s="658"/>
      <c r="AP189"/>
      <c r="AQ189" s="659"/>
      <c r="AR189" s="657"/>
      <c r="AS189" s="660"/>
      <c r="AT189" s="661"/>
      <c r="AU189" s="662"/>
      <c r="AV189" s="663"/>
      <c r="AW189" s="663"/>
      <c r="AX189" s="663"/>
      <c r="AY189" s="663"/>
      <c r="AZ189" s="664"/>
      <c r="BA189" s="659"/>
      <c r="BB189" s="657"/>
      <c r="BC189" s="660"/>
      <c r="BD189" s="665"/>
      <c r="BE189" s="666"/>
      <c r="BF189" s="663"/>
      <c r="BG189" s="663"/>
      <c r="BH189" s="663"/>
      <c r="BI189" s="667"/>
      <c r="BJ189" s="663"/>
      <c r="BK189" s="659"/>
      <c r="BL189" s="657"/>
      <c r="BM189" s="660"/>
      <c r="BN189" s="661"/>
      <c r="BO189" s="661"/>
      <c r="BP189" s="663"/>
      <c r="BQ189" s="663"/>
      <c r="BR189" s="663"/>
      <c r="BS189" s="667"/>
      <c r="BT189" s="663"/>
      <c r="BU189" s="668"/>
      <c r="BV189" s="657"/>
      <c r="BW189" s="660"/>
      <c r="BX189" s="661"/>
      <c r="BY189" s="661"/>
      <c r="BZ189" s="669"/>
      <c r="CA189" s="669"/>
      <c r="CB189" s="669"/>
      <c r="CC189" s="670"/>
      <c r="CD189" s="669"/>
      <c r="CE189" s="671"/>
      <c r="CF189" s="671"/>
      <c r="CG189" s="671"/>
      <c r="CH189" s="671"/>
      <c r="CI189" s="671"/>
      <c r="CJ189" s="671"/>
      <c r="CK189" s="671"/>
      <c r="CL189" s="671"/>
      <c r="CR189" s="6"/>
      <c r="CS189" s="6"/>
      <c r="CT189" s="6"/>
      <c r="CU189" s="6"/>
      <c r="CV189" s="6"/>
      <c r="CW189" s="6"/>
      <c r="CX189" s="6"/>
      <c r="CY189" s="6"/>
      <c r="CZ189" s="6"/>
      <c r="DA189" s="6"/>
      <c r="DB189" s="6"/>
      <c r="DC189" s="6"/>
    </row>
    <row r="190" spans="1:107" x14ac:dyDescent="0.25">
      <c r="Y190" s="59"/>
    </row>
    <row r="191" spans="1:107" x14ac:dyDescent="0.25">
      <c r="Y191" s="59"/>
      <c r="AC191" s="481">
        <v>12128354642.799999</v>
      </c>
    </row>
    <row r="192" spans="1:107" ht="36" customHeight="1" x14ac:dyDescent="0.25">
      <c r="A192" s="648" t="s">
        <v>1611</v>
      </c>
      <c r="B192" s="648"/>
      <c r="C192" s="648"/>
      <c r="D192" s="619"/>
      <c r="E192" s="619"/>
      <c r="F192" s="619"/>
      <c r="G192" s="619"/>
      <c r="H192" s="619"/>
      <c r="I192" s="619"/>
      <c r="J192" s="619"/>
      <c r="K192" s="619"/>
      <c r="L192" s="619"/>
      <c r="M192" s="619"/>
      <c r="N192" s="619"/>
      <c r="O192" s="619"/>
      <c r="P192" s="619"/>
      <c r="Q192" s="619"/>
      <c r="R192" s="619"/>
      <c r="S192" s="619"/>
      <c r="T192" s="619"/>
      <c r="U192" s="619"/>
      <c r="V192" s="619"/>
      <c r="W192" s="648"/>
      <c r="X192" s="648"/>
      <c r="Y192" s="648"/>
      <c r="Z192" s="648"/>
      <c r="AA192" s="648"/>
      <c r="AB192" s="648"/>
      <c r="AC192" s="648"/>
      <c r="AD192" s="619"/>
      <c r="AE192" s="619"/>
      <c r="AF192" s="619"/>
      <c r="AG192" s="619"/>
      <c r="AH192" s="619"/>
      <c r="AI192" s="619"/>
      <c r="AJ192" s="619"/>
      <c r="AK192" s="648"/>
      <c r="AL192" s="619"/>
      <c r="AM192" s="648"/>
      <c r="AN192" s="648"/>
    </row>
    <row r="194" spans="1:2" x14ac:dyDescent="0.25">
      <c r="A194" s="618"/>
      <c r="B194" s="22" t="s">
        <v>1509</v>
      </c>
    </row>
  </sheetData>
  <sheetProtection algorithmName="SHA-512" hashValue="tg3JACQ/ogzid520y0MIWoVtArZODHOIo+kggkegagOKSRDMrM6ic406aXpqm1yWALlR4Knti46Qk59RDEXvmA==" saltValue="rQmBuzRkvleTsU8gu1YdIw==" spinCount="100000" sheet="1" objects="1" scenarios="1"/>
  <autoFilter ref="A8:DC188" xr:uid="{412ED375-6F68-4700-90D0-1430FB214649}">
    <filterColumn colId="1">
      <filters>
        <filter val="Oficina Asesora Jurídica"/>
      </filters>
    </filterColumn>
    <filterColumn colId="19">
      <filters>
        <filter val="Proteger, gestionar y defender los recursos del SGSSS."/>
      </filters>
    </filterColumn>
  </autoFilter>
  <mergeCells count="511">
    <mergeCell ref="CI94:CI112"/>
    <mergeCell ref="CJ94:CJ112"/>
    <mergeCell ref="CK94:CK112"/>
    <mergeCell ref="CL94:CL112"/>
    <mergeCell ref="BJ80:BJ85"/>
    <mergeCell ref="BZ94:BZ112"/>
    <mergeCell ref="CA94:CA112"/>
    <mergeCell ref="CB94:CB112"/>
    <mergeCell ref="CC94:CC112"/>
    <mergeCell ref="CD94:CD112"/>
    <mergeCell ref="CE94:CE112"/>
    <mergeCell ref="CF94:CF112"/>
    <mergeCell ref="CG94:CG112"/>
    <mergeCell ref="CH94:CH112"/>
    <mergeCell ref="BP94:BP112"/>
    <mergeCell ref="BQ94:BQ112"/>
    <mergeCell ref="BR94:BR112"/>
    <mergeCell ref="BS94:BS112"/>
    <mergeCell ref="BT94:BT112"/>
    <mergeCell ref="BU94:BU112"/>
    <mergeCell ref="BW94:BW112"/>
    <mergeCell ref="BX94:BX112"/>
    <mergeCell ref="BY94:BY112"/>
    <mergeCell ref="CK80:CK85"/>
    <mergeCell ref="BF94:BF112"/>
    <mergeCell ref="BG94:BG112"/>
    <mergeCell ref="BH94:BH112"/>
    <mergeCell ref="BI94:BI112"/>
    <mergeCell ref="BJ94:BJ112"/>
    <mergeCell ref="BK94:BK112"/>
    <mergeCell ref="BM94:BM112"/>
    <mergeCell ref="BN94:BN112"/>
    <mergeCell ref="BO94:BO112"/>
    <mergeCell ref="CL80:CL85"/>
    <mergeCell ref="AA94:AA113"/>
    <mergeCell ref="AK94:AK113"/>
    <mergeCell ref="Z94:Z112"/>
    <mergeCell ref="AM94:AM112"/>
    <mergeCell ref="AO94:AO112"/>
    <mergeCell ref="AC94:AC112"/>
    <mergeCell ref="AQ94:AQ112"/>
    <mergeCell ref="AS94:AS112"/>
    <mergeCell ref="AT94:AT112"/>
    <mergeCell ref="AU94:AU112"/>
    <mergeCell ref="AV94:AV112"/>
    <mergeCell ref="AW94:AW112"/>
    <mergeCell ref="AX94:AX112"/>
    <mergeCell ref="AY94:AY112"/>
    <mergeCell ref="AZ94:AZ112"/>
    <mergeCell ref="BA94:BA112"/>
    <mergeCell ref="BC94:BC112"/>
    <mergeCell ref="BD94:BD112"/>
    <mergeCell ref="BE94:BE112"/>
    <mergeCell ref="CB80:CB85"/>
    <mergeCell ref="CC80:CC85"/>
    <mergeCell ref="CD80:CD85"/>
    <mergeCell ref="CE80:CE85"/>
    <mergeCell ref="CF80:CF85"/>
    <mergeCell ref="CG80:CG85"/>
    <mergeCell ref="CH80:CH85"/>
    <mergeCell ref="CI80:CI85"/>
    <mergeCell ref="CJ80:CJ85"/>
    <mergeCell ref="BS80:BS85"/>
    <mergeCell ref="BT80:BT85"/>
    <mergeCell ref="BU80:BU85"/>
    <mergeCell ref="BV80:BV85"/>
    <mergeCell ref="BW80:BW85"/>
    <mergeCell ref="BX80:BX85"/>
    <mergeCell ref="BY80:BY85"/>
    <mergeCell ref="BZ80:BZ85"/>
    <mergeCell ref="CA80:CA85"/>
    <mergeCell ref="BB86:BB91"/>
    <mergeCell ref="BL86:BL91"/>
    <mergeCell ref="BV86:BV91"/>
    <mergeCell ref="AB80:AB85"/>
    <mergeCell ref="AA80:AA85"/>
    <mergeCell ref="AC80:AC85"/>
    <mergeCell ref="AU80:AU85"/>
    <mergeCell ref="AV80:AV85"/>
    <mergeCell ref="AW80:AW85"/>
    <mergeCell ref="AX80:AX85"/>
    <mergeCell ref="AZ80:AZ85"/>
    <mergeCell ref="BA80:BA85"/>
    <mergeCell ref="BB80:BB85"/>
    <mergeCell ref="BC80:BC85"/>
    <mergeCell ref="BD80:BD85"/>
    <mergeCell ref="BE80:BE85"/>
    <mergeCell ref="BF80:BF85"/>
    <mergeCell ref="BG80:BG85"/>
    <mergeCell ref="BH80:BH85"/>
    <mergeCell ref="BI80:BI85"/>
    <mergeCell ref="BK80:BK85"/>
    <mergeCell ref="BQ80:BQ85"/>
    <mergeCell ref="BR80:BR85"/>
    <mergeCell ref="Z80:Z85"/>
    <mergeCell ref="AK80:AK85"/>
    <mergeCell ref="AM80:AM85"/>
    <mergeCell ref="AN80:AN85"/>
    <mergeCell ref="AO80:AO85"/>
    <mergeCell ref="AQ80:AQ85"/>
    <mergeCell ref="AR80:AR85"/>
    <mergeCell ref="AS80:AS85"/>
    <mergeCell ref="AT80:AT85"/>
    <mergeCell ref="AJ10:AJ13"/>
    <mergeCell ref="CA31:CA34"/>
    <mergeCell ref="AR136:AR137"/>
    <mergeCell ref="BB136:BB137"/>
    <mergeCell ref="BL136:BL137"/>
    <mergeCell ref="BV136:BV137"/>
    <mergeCell ref="BI39:BI40"/>
    <mergeCell ref="BY31:BY34"/>
    <mergeCell ref="AN26:AN28"/>
    <mergeCell ref="AO26:AO28"/>
    <mergeCell ref="AN31:AN34"/>
    <mergeCell ref="AO31:AO34"/>
    <mergeCell ref="AR31:AR34"/>
    <mergeCell ref="AS31:AS34"/>
    <mergeCell ref="BC39:BC40"/>
    <mergeCell ref="BE35:BE36"/>
    <mergeCell ref="BE39:BE40"/>
    <mergeCell ref="BL39:BL40"/>
    <mergeCell ref="BM39:BM40"/>
    <mergeCell ref="BG39:BG40"/>
    <mergeCell ref="BL94:BL113"/>
    <mergeCell ref="AU39:AU40"/>
    <mergeCell ref="AN94:AN113"/>
    <mergeCell ref="AN86:AN91"/>
    <mergeCell ref="W155:W157"/>
    <mergeCell ref="BV29:BV30"/>
    <mergeCell ref="BW29:BW30"/>
    <mergeCell ref="BY29:BY30"/>
    <mergeCell ref="BV115:BV117"/>
    <mergeCell ref="X155:X157"/>
    <mergeCell ref="Y155:Y157"/>
    <mergeCell ref="Z155:Z157"/>
    <mergeCell ref="AC153:AC154"/>
    <mergeCell ref="AN153:AN154"/>
    <mergeCell ref="AB115:AB117"/>
    <mergeCell ref="AA115:AA117"/>
    <mergeCell ref="AC115:AC117"/>
    <mergeCell ref="AD153:AD154"/>
    <mergeCell ref="AE153:AE154"/>
    <mergeCell ref="BL92:BL93"/>
    <mergeCell ref="BI56:BI72"/>
    <mergeCell ref="AU155:AU158"/>
    <mergeCell ref="AA35:AA36"/>
    <mergeCell ref="AC56:AC72"/>
    <mergeCell ref="AJ35:AJ36"/>
    <mergeCell ref="AJ39:AJ40"/>
    <mergeCell ref="AY39:AY40"/>
    <mergeCell ref="AJ136:AJ137"/>
    <mergeCell ref="AB35:AB36"/>
    <mergeCell ref="AC35:AC36"/>
    <mergeCell ref="AN35:AN36"/>
    <mergeCell ref="AO35:AO36"/>
    <mergeCell ref="AR35:AR36"/>
    <mergeCell ref="AS35:AS36"/>
    <mergeCell ref="AU35:AU36"/>
    <mergeCell ref="AY80:AY85"/>
    <mergeCell ref="AB86:AB91"/>
    <mergeCell ref="AR86:AR91"/>
    <mergeCell ref="AB39:AB40"/>
    <mergeCell ref="AC39:AC40"/>
    <mergeCell ref="AN39:AN40"/>
    <mergeCell ref="AO39:AO40"/>
    <mergeCell ref="AR39:AR40"/>
    <mergeCell ref="AS39:AS40"/>
    <mergeCell ref="AA39:AA40"/>
    <mergeCell ref="AA92:AA93"/>
    <mergeCell ref="AO115:AO117"/>
    <mergeCell ref="AB92:AB93"/>
    <mergeCell ref="AD116:AD117"/>
    <mergeCell ref="AB94:AB113"/>
    <mergeCell ref="AI94:AI112"/>
    <mergeCell ref="AL94:AL112"/>
    <mergeCell ref="AA86:AA91"/>
    <mergeCell ref="CL155:CL158"/>
    <mergeCell ref="CH29:CH30"/>
    <mergeCell ref="CJ29:CJ30"/>
    <mergeCell ref="CL29:CL30"/>
    <mergeCell ref="BI155:BI158"/>
    <mergeCell ref="BL155:BL158"/>
    <mergeCell ref="BM155:BM158"/>
    <mergeCell ref="BO155:BO158"/>
    <mergeCell ref="BL153:BL154"/>
    <mergeCell ref="BI153:BI154"/>
    <mergeCell ref="CF153:CF154"/>
    <mergeCell ref="CA56:CA72"/>
    <mergeCell ref="CC56:CC72"/>
    <mergeCell ref="BV153:BV154"/>
    <mergeCell ref="CC31:CC34"/>
    <mergeCell ref="CC29:CC30"/>
    <mergeCell ref="BQ155:BQ158"/>
    <mergeCell ref="BQ39:BQ40"/>
    <mergeCell ref="BS39:BS40"/>
    <mergeCell ref="BO39:BO40"/>
    <mergeCell ref="BM56:BM72"/>
    <mergeCell ref="BQ35:BQ36"/>
    <mergeCell ref="BS35:BS36"/>
    <mergeCell ref="BO35:BO36"/>
    <mergeCell ref="BY155:BY158"/>
    <mergeCell ref="CA155:CA158"/>
    <mergeCell ref="BC153:BC154"/>
    <mergeCell ref="AF153:AF154"/>
    <mergeCell ref="AD94:AD98"/>
    <mergeCell ref="AO56:AO72"/>
    <mergeCell ref="AN136:AN137"/>
    <mergeCell ref="AS56:AS72"/>
    <mergeCell ref="BG56:BG72"/>
    <mergeCell ref="BO56:BO72"/>
    <mergeCell ref="BV92:BV93"/>
    <mergeCell ref="BB92:BB93"/>
    <mergeCell ref="BC115:BC117"/>
    <mergeCell ref="BL115:BL117"/>
    <mergeCell ref="BV94:BV113"/>
    <mergeCell ref="AN92:AN93"/>
    <mergeCell ref="AS155:AS158"/>
    <mergeCell ref="AW155:AW158"/>
    <mergeCell ref="AY155:AY158"/>
    <mergeCell ref="AN155:AN158"/>
    <mergeCell ref="AO155:AO158"/>
    <mergeCell ref="AR155:AR158"/>
    <mergeCell ref="AJ153:AJ154"/>
    <mergeCell ref="AF155:AF158"/>
    <mergeCell ref="CL153:CL154"/>
    <mergeCell ref="CH153:CH154"/>
    <mergeCell ref="CJ153:CJ154"/>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6:AA137"/>
    <mergeCell ref="AA153:AA154"/>
    <mergeCell ref="AB136:AB137"/>
    <mergeCell ref="BB39:BB40"/>
    <mergeCell ref="AW39:AW40"/>
    <mergeCell ref="BS56:BS72"/>
    <mergeCell ref="CC155:CC158"/>
    <mergeCell ref="CF155:CF158"/>
    <mergeCell ref="CH155:CH158"/>
    <mergeCell ref="CJ155:CJ158"/>
    <mergeCell ref="AY153:AY154"/>
    <mergeCell ref="BB155:BB158"/>
    <mergeCell ref="BC155:BC158"/>
    <mergeCell ref="BE155:BE158"/>
    <mergeCell ref="BG155:BG158"/>
    <mergeCell ref="BQ153:BQ154"/>
    <mergeCell ref="BM153:BM154"/>
    <mergeCell ref="BO153:BO154"/>
    <mergeCell ref="CC153:CC154"/>
    <mergeCell ref="CA153:CA154"/>
    <mergeCell ref="BY153:BY154"/>
    <mergeCell ref="BW153:BW154"/>
    <mergeCell ref="BS153:BS154"/>
    <mergeCell ref="BB153:BB154"/>
    <mergeCell ref="BG153:BG154"/>
    <mergeCell ref="BE153:BE154"/>
    <mergeCell ref="BS155:BS158"/>
    <mergeCell ref="BV155:BV158"/>
    <mergeCell ref="BW155:BW158"/>
    <mergeCell ref="AZ153:AZ154"/>
    <mergeCell ref="BV39:BV40"/>
    <mergeCell ref="CJ56:CJ72"/>
    <mergeCell ref="CL56:CL72"/>
    <mergeCell ref="BW56:BW72"/>
    <mergeCell ref="CF56:CF72"/>
    <mergeCell ref="CH56:CH72"/>
    <mergeCell ref="BY56:BY72"/>
    <mergeCell ref="BW115:BW117"/>
    <mergeCell ref="AR94:AR113"/>
    <mergeCell ref="AR115:AR117"/>
    <mergeCell ref="BB94:BB113"/>
    <mergeCell ref="BB115:BB117"/>
    <mergeCell ref="BC56:BC72"/>
    <mergeCell ref="BE56:BE72"/>
    <mergeCell ref="AW56:AW72"/>
    <mergeCell ref="AY56:AY72"/>
    <mergeCell ref="AU56:AU72"/>
    <mergeCell ref="AR92:AR93"/>
    <mergeCell ref="BQ56:BQ72"/>
    <mergeCell ref="BL80:BL85"/>
    <mergeCell ref="BM80:BM85"/>
    <mergeCell ref="BN80:BN85"/>
    <mergeCell ref="BO80:BO85"/>
    <mergeCell ref="BP80:BP85"/>
    <mergeCell ref="CL35:CL36"/>
    <mergeCell ref="BY35:BY36"/>
    <mergeCell ref="CA35:CA36"/>
    <mergeCell ref="CC35:CC36"/>
    <mergeCell ref="CH39:CH40"/>
    <mergeCell ref="CJ39:CJ40"/>
    <mergeCell ref="CL39:CL40"/>
    <mergeCell ref="BW39:BW40"/>
    <mergeCell ref="CA39:CA40"/>
    <mergeCell ref="CC39:CC40"/>
    <mergeCell ref="BY39:BY40"/>
    <mergeCell ref="CF39:CF40"/>
    <mergeCell ref="BM35:BM36"/>
    <mergeCell ref="BW35:BW36"/>
    <mergeCell ref="BB35:BB36"/>
    <mergeCell ref="BL35:BL36"/>
    <mergeCell ref="BV35:BV36"/>
    <mergeCell ref="CF35:CF36"/>
    <mergeCell ref="CH35:CH36"/>
    <mergeCell ref="CJ35:CJ36"/>
    <mergeCell ref="BG35:BG36"/>
    <mergeCell ref="BI35:BI36"/>
    <mergeCell ref="BC35:BC36"/>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A1:B3"/>
    <mergeCell ref="CI1:CL3"/>
    <mergeCell ref="X1:CH1"/>
    <mergeCell ref="Y2:CF3"/>
    <mergeCell ref="CG2:CG3"/>
    <mergeCell ref="CH2:CH3"/>
    <mergeCell ref="X2:X3"/>
    <mergeCell ref="C1:W1"/>
    <mergeCell ref="C2:W2"/>
    <mergeCell ref="C3:W3"/>
    <mergeCell ref="CF10:CF13"/>
    <mergeCell ref="BS31:BS34"/>
    <mergeCell ref="BB31:BB34"/>
    <mergeCell ref="BC31:BC34"/>
    <mergeCell ref="BL31:BL34"/>
    <mergeCell ref="BM31:BM34"/>
    <mergeCell ref="AW29:AW30"/>
    <mergeCell ref="AU26:AU28"/>
    <mergeCell ref="AW26:AW28"/>
    <mergeCell ref="AC31:AC34"/>
    <mergeCell ref="AU31:AU34"/>
    <mergeCell ref="AW31:AW34"/>
    <mergeCell ref="AY31:AY34"/>
    <mergeCell ref="BE31:BE34"/>
    <mergeCell ref="BG31:BG34"/>
    <mergeCell ref="BI31:BI34"/>
    <mergeCell ref="AJ29:AJ30"/>
    <mergeCell ref="AJ31:AJ34"/>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X6:AI6"/>
    <mergeCell ref="Q4:R4"/>
    <mergeCell ref="Q5:R5"/>
    <mergeCell ref="AF7:AF8"/>
    <mergeCell ref="AG7:AG8"/>
    <mergeCell ref="AH7:AH8"/>
    <mergeCell ref="AI7:AI8"/>
    <mergeCell ref="AK7:AK8"/>
    <mergeCell ref="T5:AE5"/>
    <mergeCell ref="AL7:AL8"/>
    <mergeCell ref="W7:W8"/>
    <mergeCell ref="X7:X8"/>
    <mergeCell ref="Y7:Y8"/>
    <mergeCell ref="Z7:Z8"/>
    <mergeCell ref="AA7:AA8"/>
    <mergeCell ref="AB7:AB8"/>
    <mergeCell ref="AC7:AC8"/>
    <mergeCell ref="AD7:AD8"/>
    <mergeCell ref="AE7:AE8"/>
    <mergeCell ref="AW153:AW154"/>
    <mergeCell ref="AS153:AS154"/>
    <mergeCell ref="AP7:AP8"/>
    <mergeCell ref="AM7:AM8"/>
    <mergeCell ref="AN7:AN8"/>
    <mergeCell ref="AO7:AO8"/>
    <mergeCell ref="AY29:AY30"/>
    <mergeCell ref="AW35:AW36"/>
    <mergeCell ref="AY35:AY36"/>
    <mergeCell ref="AR26:AR28"/>
    <mergeCell ref="AS26:AS28"/>
    <mergeCell ref="AP99:AP112"/>
    <mergeCell ref="AR153:AR154"/>
    <mergeCell ref="AO153:AO154"/>
    <mergeCell ref="S168:S169"/>
    <mergeCell ref="T168:T169"/>
    <mergeCell ref="S166:S167"/>
    <mergeCell ref="T166:T167"/>
    <mergeCell ref="AE94:AE112"/>
    <mergeCell ref="AF94:AF112"/>
    <mergeCell ref="AG94:AG112"/>
    <mergeCell ref="AH94:AH112"/>
    <mergeCell ref="AN115:AN117"/>
    <mergeCell ref="AG155:AG158"/>
    <mergeCell ref="AI155:AI157"/>
    <mergeCell ref="AJ155:AJ157"/>
    <mergeCell ref="AA155:AA158"/>
    <mergeCell ref="AB155:AB158"/>
    <mergeCell ref="AC155:AC158"/>
    <mergeCell ref="AE155:AE158"/>
    <mergeCell ref="AI153:AI154"/>
    <mergeCell ref="AL153:AL154"/>
    <mergeCell ref="AD155:AD158"/>
    <mergeCell ref="AL155:AL158"/>
    <mergeCell ref="AH155:AH158"/>
    <mergeCell ref="AG153:AG154"/>
    <mergeCell ref="AH153:AH154"/>
    <mergeCell ref="AB153:AB154"/>
  </mergeCells>
  <conditionalFormatting 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
    <cfRule type="cellIs" dxfId="12933" priority="391" operator="equal">
      <formula>#REF!</formula>
    </cfRule>
    <cfRule type="cellIs" dxfId="12932" priority="392" operator="greaterThan">
      <formula>1</formula>
    </cfRule>
    <cfRule type="cellIs" dxfId="12931" priority="393" operator="equal">
      <formula>100%</formula>
    </cfRule>
    <cfRule type="cellIs" dxfId="12930" priority="394" operator="between">
      <formula>80%</formula>
      <formula>99%</formula>
    </cfRule>
    <cfRule type="cellIs" dxfId="12929" priority="395" operator="between">
      <formula>0%</formula>
      <formula>79%</formula>
    </cfRule>
  </conditionalFormatting>
  <conditionalFormatting sqref="CE51:CL52 CE124:CL131 CE43:CL48">
    <cfRule type="cellIs" dxfId="12928" priority="367" operator="equal">
      <formula>#REF!</formula>
    </cfRule>
    <cfRule type="cellIs" dxfId="12927" priority="368" operator="greaterThan">
      <formula>1</formula>
    </cfRule>
    <cfRule type="cellIs" dxfId="12926" priority="369" operator="equal">
      <formula>100%</formula>
    </cfRule>
    <cfRule type="cellIs" dxfId="12925" priority="370" operator="between">
      <formula>80%</formula>
      <formula>99%</formula>
    </cfRule>
    <cfRule type="cellIs" dxfId="12924" priority="371" operator="between">
      <formula>0%</formula>
      <formula>79%</formula>
    </cfRule>
  </conditionalFormatting>
  <conditionalFormatting sqref="CE140 CE20:CL20 CE149:CL151 CE157:CE158 CG157:CG158 CI157:CI158 CK157:CK158 CE77:CL80 CE86:CL94 CE113:CL117 CE188:CL189">
    <cfRule type="cellIs" dxfId="12923" priority="361" operator="equal">
      <formula>#REF!</formula>
    </cfRule>
    <cfRule type="cellIs" dxfId="12922" priority="362" operator="greaterThan">
      <formula>1</formula>
    </cfRule>
    <cfRule type="cellIs" dxfId="12921" priority="363" operator="equal">
      <formula>100%</formula>
    </cfRule>
    <cfRule type="cellIs" dxfId="12920" priority="364" operator="between">
      <formula>80%</formula>
      <formula>99%</formula>
    </cfRule>
    <cfRule type="cellIs" dxfId="12919" priority="365" operator="between">
      <formula>0%</formula>
      <formula>79%</formula>
    </cfRule>
  </conditionalFormatting>
  <conditionalFormatting sqref="CE132:CL132">
    <cfRule type="cellIs" dxfId="12918" priority="349" operator="equal">
      <formula>#REF!</formula>
    </cfRule>
    <cfRule type="cellIs" dxfId="12917" priority="350" operator="greaterThan">
      <formula>1</formula>
    </cfRule>
    <cfRule type="cellIs" dxfId="12916" priority="351" operator="equal">
      <formula>100%</formula>
    </cfRule>
    <cfRule type="cellIs" dxfId="12915" priority="352" operator="between">
      <formula>80%</formula>
      <formula>99%</formula>
    </cfRule>
    <cfRule type="cellIs" dxfId="12914" priority="353" operator="between">
      <formula>0%</formula>
      <formula>79%</formula>
    </cfRule>
  </conditionalFormatting>
  <conditionalFormatting sqref="CE50 CG50 CI50 CK50">
    <cfRule type="cellIs" dxfId="12913" priority="331" operator="equal">
      <formula>#REF!</formula>
    </cfRule>
    <cfRule type="cellIs" dxfId="12912" priority="332" operator="greaterThan">
      <formula>1</formula>
    </cfRule>
    <cfRule type="cellIs" dxfId="12911" priority="333" operator="equal">
      <formula>100%</formula>
    </cfRule>
    <cfRule type="cellIs" dxfId="12910" priority="334" operator="between">
      <formula>80%</formula>
      <formula>99%</formula>
    </cfRule>
    <cfRule type="cellIs" dxfId="12909" priority="335" operator="between">
      <formula>0%</formula>
      <formula>79%</formula>
    </cfRule>
  </conditionalFormatting>
  <conditionalFormatting sqref="CE142:CL148">
    <cfRule type="cellIs" dxfId="12908" priority="325" operator="equal">
      <formula>#REF!</formula>
    </cfRule>
    <cfRule type="cellIs" dxfId="12907" priority="326" operator="greaterThan">
      <formula>1</formula>
    </cfRule>
    <cfRule type="cellIs" dxfId="12906" priority="327" operator="equal">
      <formula>100%</formula>
    </cfRule>
    <cfRule type="cellIs" dxfId="12905" priority="328" operator="between">
      <formula>80%</formula>
      <formula>99%</formula>
    </cfRule>
    <cfRule type="cellIs" dxfId="12904" priority="329" operator="between">
      <formula>0%</formula>
      <formula>79%</formula>
    </cfRule>
  </conditionalFormatting>
  <conditionalFormatting sqref="CE152:CL153 CE154 CG154 CI154 CK154 CE159:CL163 CE155:CL156">
    <cfRule type="cellIs" dxfId="12903" priority="307" operator="equal">
      <formula>#REF!</formula>
    </cfRule>
    <cfRule type="cellIs" dxfId="12902" priority="308" operator="greaterThan">
      <formula>1</formula>
    </cfRule>
    <cfRule type="cellIs" dxfId="12901" priority="309" operator="equal">
      <formula>100%</formula>
    </cfRule>
    <cfRule type="cellIs" dxfId="12900" priority="310" operator="between">
      <formula>80%</formula>
      <formula>99%</formula>
    </cfRule>
    <cfRule type="cellIs" dxfId="12899" priority="311" operator="between">
      <formula>0%</formula>
      <formula>79%</formula>
    </cfRule>
  </conditionalFormatting>
  <conditionalFormatting sqref="CF50">
    <cfRule type="cellIs" dxfId="12898" priority="301" operator="equal">
      <formula>#REF!</formula>
    </cfRule>
    <cfRule type="cellIs" dxfId="12897" priority="302" operator="greaterThan">
      <formula>1</formula>
    </cfRule>
    <cfRule type="cellIs" dxfId="12896" priority="303" operator="equal">
      <formula>100%</formula>
    </cfRule>
    <cfRule type="cellIs" dxfId="12895" priority="304" operator="between">
      <formula>80%</formula>
      <formula>99%</formula>
    </cfRule>
    <cfRule type="cellIs" dxfId="12894" priority="305" operator="between">
      <formula>0%</formula>
      <formula>79%</formula>
    </cfRule>
  </conditionalFormatting>
  <conditionalFormatting sqref="CH50">
    <cfRule type="cellIs" dxfId="12893" priority="295" operator="equal">
      <formula>#REF!</formula>
    </cfRule>
    <cfRule type="cellIs" dxfId="12892" priority="296" operator="greaterThan">
      <formula>1</formula>
    </cfRule>
    <cfRule type="cellIs" dxfId="12891" priority="297" operator="equal">
      <formula>100%</formula>
    </cfRule>
    <cfRule type="cellIs" dxfId="12890" priority="298" operator="between">
      <formula>80%</formula>
      <formula>99%</formula>
    </cfRule>
    <cfRule type="cellIs" dxfId="12889" priority="299" operator="between">
      <formula>0%</formula>
      <formula>79%</formula>
    </cfRule>
  </conditionalFormatting>
  <conditionalFormatting sqref="CJ50">
    <cfRule type="cellIs" dxfId="12888" priority="289" operator="equal">
      <formula>#REF!</formula>
    </cfRule>
    <cfRule type="cellIs" dxfId="12887" priority="290" operator="greaterThan">
      <formula>1</formula>
    </cfRule>
    <cfRule type="cellIs" dxfId="12886" priority="291" operator="equal">
      <formula>100%</formula>
    </cfRule>
    <cfRule type="cellIs" dxfId="12885" priority="292" operator="between">
      <formula>80%</formula>
      <formula>99%</formula>
    </cfRule>
    <cfRule type="cellIs" dxfId="12884" priority="293" operator="between">
      <formula>0%</formula>
      <formula>79%</formula>
    </cfRule>
  </conditionalFormatting>
  <conditionalFormatting sqref="CL50">
    <cfRule type="cellIs" dxfId="12883" priority="283" operator="equal">
      <formula>#REF!</formula>
    </cfRule>
    <cfRule type="cellIs" dxfId="12882" priority="284" operator="greaterThan">
      <formula>1</formula>
    </cfRule>
    <cfRule type="cellIs" dxfId="12881" priority="285" operator="equal">
      <formula>100%</formula>
    </cfRule>
    <cfRule type="cellIs" dxfId="12880" priority="286" operator="between">
      <formula>80%</formula>
      <formula>99%</formula>
    </cfRule>
    <cfRule type="cellIs" dxfId="12879" priority="287" operator="between">
      <formula>0%</formula>
      <formula>79%</formula>
    </cfRule>
  </conditionalFormatting>
  <conditionalFormatting sqref="CE57:CE67 CG57:CG67 CI57:CI67 CK57:CK67">
    <cfRule type="cellIs" dxfId="12878" priority="277" operator="equal">
      <formula>#REF!</formula>
    </cfRule>
    <cfRule type="cellIs" dxfId="12877" priority="278" operator="greaterThan">
      <formula>1</formula>
    </cfRule>
    <cfRule type="cellIs" dxfId="12876" priority="279" operator="equal">
      <formula>100%</formula>
    </cfRule>
    <cfRule type="cellIs" dxfId="12875" priority="280" operator="between">
      <formula>80%</formula>
      <formula>99%</formula>
    </cfRule>
    <cfRule type="cellIs" dxfId="12874" priority="281" operator="between">
      <formula>0%</formula>
      <formula>79%</formula>
    </cfRule>
  </conditionalFormatting>
  <conditionalFormatting sqref="CE69:CE72 CG69:CG72 CI69:CI72 CK69:CK72">
    <cfRule type="cellIs" dxfId="12873" priority="271" operator="equal">
      <formula>#REF!</formula>
    </cfRule>
    <cfRule type="cellIs" dxfId="12872" priority="272" operator="greaterThan">
      <formula>1</formula>
    </cfRule>
    <cfRule type="cellIs" dxfId="12871" priority="273" operator="equal">
      <formula>100%</formula>
    </cfRule>
    <cfRule type="cellIs" dxfId="12870" priority="274" operator="between">
      <formula>80%</formula>
      <formula>99%</formula>
    </cfRule>
    <cfRule type="cellIs" dxfId="12869" priority="275" operator="between">
      <formula>0%</formula>
      <formula>79%</formula>
    </cfRule>
  </conditionalFormatting>
  <conditionalFormatting sqref="CE68 CG68 CI68 CK68">
    <cfRule type="cellIs" dxfId="12868" priority="265" operator="equal">
      <formula>#REF!</formula>
    </cfRule>
    <cfRule type="cellIs" dxfId="12867" priority="266" operator="greaterThan">
      <formula>1</formula>
    </cfRule>
    <cfRule type="cellIs" dxfId="12866" priority="267" operator="equal">
      <formula>100%</formula>
    </cfRule>
    <cfRule type="cellIs" dxfId="12865" priority="268" operator="between">
      <formula>80%</formula>
      <formula>99%</formula>
    </cfRule>
    <cfRule type="cellIs" dxfId="12864" priority="269" operator="between">
      <formula>0%</formula>
      <formula>79%</formula>
    </cfRule>
  </conditionalFormatting>
  <conditionalFormatting sqref="CE74:CL75">
    <cfRule type="cellIs" dxfId="12863" priority="259" operator="equal">
      <formula>#REF!</formula>
    </cfRule>
    <cfRule type="cellIs" dxfId="12862" priority="260" operator="greaterThan">
      <formula>1</formula>
    </cfRule>
    <cfRule type="cellIs" dxfId="12861" priority="261" operator="equal">
      <formula>100%</formula>
    </cfRule>
    <cfRule type="cellIs" dxfId="12860" priority="262" operator="between">
      <formula>80%</formula>
      <formula>99%</formula>
    </cfRule>
    <cfRule type="cellIs" dxfId="12859" priority="263" operator="between">
      <formula>0%</formula>
      <formula>79%</formula>
    </cfRule>
  </conditionalFormatting>
  <conditionalFormatting sqref="CE119:CL120">
    <cfRule type="cellIs" dxfId="12858" priority="247" operator="equal">
      <formula>#REF!</formula>
    </cfRule>
    <cfRule type="cellIs" dxfId="12857" priority="248" operator="greaterThan">
      <formula>1</formula>
    </cfRule>
    <cfRule type="cellIs" dxfId="12856" priority="249" operator="equal">
      <formula>100%</formula>
    </cfRule>
    <cfRule type="cellIs" dxfId="12855" priority="250" operator="between">
      <formula>80%</formula>
      <formula>99%</formula>
    </cfRule>
    <cfRule type="cellIs" dxfId="12854" priority="251" operator="between">
      <formula>0%</formula>
      <formula>79%</formula>
    </cfRule>
  </conditionalFormatting>
  <conditionalFormatting sqref="CE164:CL164">
    <cfRule type="cellIs" dxfId="12853" priority="241" operator="equal">
      <formula>#REF!</formula>
    </cfRule>
    <cfRule type="cellIs" dxfId="12852" priority="242" operator="greaterThan">
      <formula>1</formula>
    </cfRule>
    <cfRule type="cellIs" dxfId="12851" priority="243" operator="equal">
      <formula>100%</formula>
    </cfRule>
    <cfRule type="cellIs" dxfId="12850" priority="244" operator="between">
      <formula>80%</formula>
      <formula>99%</formula>
    </cfRule>
    <cfRule type="cellIs" dxfId="12849" priority="245" operator="between">
      <formula>0%</formula>
      <formula>79%</formula>
    </cfRule>
  </conditionalFormatting>
  <conditionalFormatting sqref="CE166:CL166 CE168:CL168 CE170:CL170">
    <cfRule type="cellIs" dxfId="12848" priority="235" operator="equal">
      <formula>#REF!</formula>
    </cfRule>
    <cfRule type="cellIs" dxfId="12847" priority="236" operator="greaterThan">
      <formula>1</formula>
    </cfRule>
    <cfRule type="cellIs" dxfId="12846" priority="237" operator="equal">
      <formula>100%</formula>
    </cfRule>
    <cfRule type="cellIs" dxfId="12845" priority="238" operator="between">
      <formula>80%</formula>
      <formula>99%</formula>
    </cfRule>
    <cfRule type="cellIs" dxfId="12844" priority="239" operator="between">
      <formula>0%</formula>
      <formula>79%</formula>
    </cfRule>
  </conditionalFormatting>
  <conditionalFormatting sqref="CE17:CL18">
    <cfRule type="cellIs" dxfId="12843" priority="229" operator="equal">
      <formula>#REF!</formula>
    </cfRule>
    <cfRule type="cellIs" dxfId="12842" priority="230" operator="greaterThan">
      <formula>1</formula>
    </cfRule>
    <cfRule type="cellIs" dxfId="12841" priority="231" operator="equal">
      <formula>100%</formula>
    </cfRule>
    <cfRule type="cellIs" dxfId="12840" priority="232" operator="between">
      <formula>80%</formula>
      <formula>99%</formula>
    </cfRule>
    <cfRule type="cellIs" dxfId="12839" priority="233" operator="between">
      <formula>0%</formula>
      <formula>79%</formula>
    </cfRule>
  </conditionalFormatting>
  <conditionalFormatting sqref="CE42:CL42">
    <cfRule type="cellIs" dxfId="12838" priority="217" operator="equal">
      <formula>#REF!</formula>
    </cfRule>
    <cfRule type="cellIs" dxfId="12837" priority="218" operator="greaterThan">
      <formula>1</formula>
    </cfRule>
    <cfRule type="cellIs" dxfId="12836" priority="219" operator="equal">
      <formula>100%</formula>
    </cfRule>
    <cfRule type="cellIs" dxfId="12835" priority="220" operator="between">
      <formula>80%</formula>
      <formula>99%</formula>
    </cfRule>
    <cfRule type="cellIs" dxfId="12834" priority="221" operator="between">
      <formula>0%</formula>
      <formula>79%</formula>
    </cfRule>
  </conditionalFormatting>
  <conditionalFormatting sqref="CE49:CL49">
    <cfRule type="cellIs" dxfId="12833" priority="211" operator="equal">
      <formula>#REF!</formula>
    </cfRule>
    <cfRule type="cellIs" dxfId="12832" priority="212" operator="greaterThan">
      <formula>1</formula>
    </cfRule>
    <cfRule type="cellIs" dxfId="12831" priority="213" operator="equal">
      <formula>100%</formula>
    </cfRule>
    <cfRule type="cellIs" dxfId="12830" priority="214" operator="between">
      <formula>80%</formula>
      <formula>99%</formula>
    </cfRule>
    <cfRule type="cellIs" dxfId="12829" priority="215" operator="between">
      <formula>0%</formula>
      <formula>79%</formula>
    </cfRule>
  </conditionalFormatting>
  <conditionalFormatting sqref="CE133:CL133">
    <cfRule type="cellIs" dxfId="12828" priority="205" operator="equal">
      <formula>#REF!</formula>
    </cfRule>
    <cfRule type="cellIs" dxfId="12827" priority="206" operator="greaterThan">
      <formula>1</formula>
    </cfRule>
    <cfRule type="cellIs" dxfId="12826" priority="207" operator="equal">
      <formula>100%</formula>
    </cfRule>
    <cfRule type="cellIs" dxfId="12825" priority="208" operator="between">
      <formula>80%</formula>
      <formula>99%</formula>
    </cfRule>
    <cfRule type="cellIs" dxfId="12824" priority="209" operator="between">
      <formula>0%</formula>
      <formula>79%</formula>
    </cfRule>
  </conditionalFormatting>
  <conditionalFormatting sqref="CE141:CL141">
    <cfRule type="cellIs" dxfId="12823" priority="199" operator="equal">
      <formula>#REF!</formula>
    </cfRule>
    <cfRule type="cellIs" dxfId="12822" priority="200" operator="greaterThan">
      <formula>1</formula>
    </cfRule>
    <cfRule type="cellIs" dxfId="12821" priority="201" operator="equal">
      <formula>100%</formula>
    </cfRule>
    <cfRule type="cellIs" dxfId="12820" priority="202" operator="between">
      <formula>80%</formula>
      <formula>99%</formula>
    </cfRule>
    <cfRule type="cellIs" dxfId="12819" priority="203" operator="between">
      <formula>0%</formula>
      <formula>79%</formula>
    </cfRule>
  </conditionalFormatting>
  <conditionalFormatting sqref="CE171:CL171">
    <cfRule type="cellIs" dxfId="12818" priority="187" operator="equal">
      <formula>#REF!</formula>
    </cfRule>
    <cfRule type="cellIs" dxfId="12817" priority="188" operator="greaterThan">
      <formula>1</formula>
    </cfRule>
    <cfRule type="cellIs" dxfId="12816" priority="189" operator="equal">
      <formula>100%</formula>
    </cfRule>
    <cfRule type="cellIs" dxfId="12815" priority="190" operator="between">
      <formula>80%</formula>
      <formula>99%</formula>
    </cfRule>
    <cfRule type="cellIs" dxfId="12814" priority="191" operator="between">
      <formula>0%</formula>
      <formula>79%</formula>
    </cfRule>
  </conditionalFormatting>
  <conditionalFormatting sqref="CE172:CL172">
    <cfRule type="cellIs" dxfId="12813" priority="181" operator="equal">
      <formula>#REF!</formula>
    </cfRule>
    <cfRule type="cellIs" dxfId="12812" priority="182" operator="greaterThan">
      <formula>1</formula>
    </cfRule>
    <cfRule type="cellIs" dxfId="12811" priority="183" operator="equal">
      <formula>100%</formula>
    </cfRule>
    <cfRule type="cellIs" dxfId="12810" priority="184" operator="between">
      <formula>80%</formula>
      <formula>99%</formula>
    </cfRule>
    <cfRule type="cellIs" dxfId="12809" priority="185" operator="between">
      <formula>0%</formula>
      <formula>79%</formula>
    </cfRule>
  </conditionalFormatting>
  <conditionalFormatting sqref="CE173:CL173">
    <cfRule type="cellIs" dxfId="12808" priority="175" operator="equal">
      <formula>#REF!</formula>
    </cfRule>
    <cfRule type="cellIs" dxfId="12807" priority="176" operator="greaterThan">
      <formula>1</formula>
    </cfRule>
    <cfRule type="cellIs" dxfId="12806" priority="177" operator="equal">
      <formula>100%</formula>
    </cfRule>
    <cfRule type="cellIs" dxfId="12805" priority="178" operator="between">
      <formula>80%</formula>
      <formula>99%</formula>
    </cfRule>
    <cfRule type="cellIs" dxfId="12804" priority="179" operator="between">
      <formula>0%</formula>
      <formula>79%</formula>
    </cfRule>
  </conditionalFormatting>
  <conditionalFormatting sqref="CE174:CL174">
    <cfRule type="cellIs" dxfId="12803" priority="169" operator="equal">
      <formula>#REF!</formula>
    </cfRule>
    <cfRule type="cellIs" dxfId="12802" priority="170" operator="greaterThan">
      <formula>1</formula>
    </cfRule>
    <cfRule type="cellIs" dxfId="12801" priority="171" operator="equal">
      <formula>100%</formula>
    </cfRule>
    <cfRule type="cellIs" dxfId="12800" priority="172" operator="between">
      <formula>80%</formula>
      <formula>99%</formula>
    </cfRule>
    <cfRule type="cellIs" dxfId="12799" priority="173" operator="between">
      <formula>0%</formula>
      <formula>79%</formula>
    </cfRule>
  </conditionalFormatting>
  <conditionalFormatting sqref="CE179:CL179">
    <cfRule type="cellIs" dxfId="12798" priority="163" operator="equal">
      <formula>#REF!</formula>
    </cfRule>
    <cfRule type="cellIs" dxfId="12797" priority="164" operator="greaterThan">
      <formula>1</formula>
    </cfRule>
    <cfRule type="cellIs" dxfId="12796" priority="165" operator="equal">
      <formula>100%</formula>
    </cfRule>
    <cfRule type="cellIs" dxfId="12795" priority="166" operator="between">
      <formula>80%</formula>
      <formula>99%</formula>
    </cfRule>
    <cfRule type="cellIs" dxfId="12794" priority="167" operator="between">
      <formula>0%</formula>
      <formula>79%</formula>
    </cfRule>
  </conditionalFormatting>
  <conditionalFormatting sqref="CE177:CL177">
    <cfRule type="cellIs" dxfId="12793" priority="157" operator="equal">
      <formula>#REF!</formula>
    </cfRule>
    <cfRule type="cellIs" dxfId="12792" priority="158" operator="greaterThan">
      <formula>1</formula>
    </cfRule>
    <cfRule type="cellIs" dxfId="12791" priority="159" operator="equal">
      <formula>100%</formula>
    </cfRule>
    <cfRule type="cellIs" dxfId="12790" priority="160" operator="between">
      <formula>80%</formula>
      <formula>99%</formula>
    </cfRule>
    <cfRule type="cellIs" dxfId="12789" priority="161" operator="between">
      <formula>0%</formula>
      <formula>79%</formula>
    </cfRule>
  </conditionalFormatting>
  <conditionalFormatting sqref="CE178:CL178">
    <cfRule type="cellIs" dxfId="12788" priority="151" operator="equal">
      <formula>#REF!</formula>
    </cfRule>
    <cfRule type="cellIs" dxfId="12787" priority="152" operator="greaterThan">
      <formula>1</formula>
    </cfRule>
    <cfRule type="cellIs" dxfId="12786" priority="153" operator="equal">
      <formula>100%</formula>
    </cfRule>
    <cfRule type="cellIs" dxfId="12785" priority="154" operator="between">
      <formula>80%</formula>
      <formula>99%</formula>
    </cfRule>
    <cfRule type="cellIs" dxfId="12784" priority="155" operator="between">
      <formula>0%</formula>
      <formula>79%</formula>
    </cfRule>
  </conditionalFormatting>
  <conditionalFormatting sqref="CF140:CL140">
    <cfRule type="cellIs" dxfId="12783" priority="145" operator="equal">
      <formula>#REF!</formula>
    </cfRule>
    <cfRule type="cellIs" dxfId="12782" priority="146" operator="greaterThan">
      <formula>1</formula>
    </cfRule>
    <cfRule type="cellIs" dxfId="12781" priority="147" operator="equal">
      <formula>100%</formula>
    </cfRule>
    <cfRule type="cellIs" dxfId="12780" priority="148" operator="between">
      <formula>80%</formula>
      <formula>99%</formula>
    </cfRule>
    <cfRule type="cellIs" dxfId="12779" priority="149" operator="between">
      <formula>0%</formula>
      <formula>79%</formula>
    </cfRule>
  </conditionalFormatting>
  <conditionalFormatting sqref="CE165:CL165">
    <cfRule type="cellIs" dxfId="12778" priority="139" operator="equal">
      <formula>#REF!</formula>
    </cfRule>
    <cfRule type="cellIs" dxfId="12777" priority="140" operator="greaterThan">
      <formula>1</formula>
    </cfRule>
    <cfRule type="cellIs" dxfId="12776" priority="141" operator="equal">
      <formula>100%</formula>
    </cfRule>
    <cfRule type="cellIs" dxfId="12775" priority="142" operator="between">
      <formula>80%</formula>
      <formula>99%</formula>
    </cfRule>
    <cfRule type="cellIs" dxfId="12774" priority="143" operator="between">
      <formula>0%</formula>
      <formula>79%</formula>
    </cfRule>
  </conditionalFormatting>
  <conditionalFormatting sqref="CE176:CL176">
    <cfRule type="cellIs" dxfId="12773" priority="133" operator="equal">
      <formula>#REF!</formula>
    </cfRule>
    <cfRule type="cellIs" dxfId="12772" priority="134" operator="greaterThan">
      <formula>1</formula>
    </cfRule>
    <cfRule type="cellIs" dxfId="12771" priority="135" operator="equal">
      <formula>100%</formula>
    </cfRule>
    <cfRule type="cellIs" dxfId="12770" priority="136" operator="between">
      <formula>80%</formula>
      <formula>99%</formula>
    </cfRule>
    <cfRule type="cellIs" dxfId="12769" priority="137" operator="between">
      <formula>0%</formula>
      <formula>79%</formula>
    </cfRule>
  </conditionalFormatting>
  <conditionalFormatting sqref="CE181:CE182 CG181:CG182 CI181:CI182 CK181:CK182">
    <cfRule type="cellIs" dxfId="12768" priority="127" operator="equal">
      <formula>#REF!</formula>
    </cfRule>
    <cfRule type="cellIs" dxfId="12767" priority="128" operator="greaterThan">
      <formula>1</formula>
    </cfRule>
    <cfRule type="cellIs" dxfId="12766" priority="129" operator="equal">
      <formula>100%</formula>
    </cfRule>
    <cfRule type="cellIs" dxfId="12765" priority="130" operator="between">
      <formula>80%</formula>
      <formula>99%</formula>
    </cfRule>
    <cfRule type="cellIs" dxfId="12764" priority="131" operator="between">
      <formula>0%</formula>
      <formula>79%</formula>
    </cfRule>
  </conditionalFormatting>
  <conditionalFormatting sqref="CE180 CG180 CI180 CK180">
    <cfRule type="cellIs" dxfId="12763" priority="121" operator="equal">
      <formula>#REF!</formula>
    </cfRule>
    <cfRule type="cellIs" dxfId="12762" priority="122" operator="greaterThan">
      <formula>1</formula>
    </cfRule>
    <cfRule type="cellIs" dxfId="12761" priority="123" operator="equal">
      <formula>100%</formula>
    </cfRule>
    <cfRule type="cellIs" dxfId="12760" priority="124" operator="between">
      <formula>80%</formula>
      <formula>99%</formula>
    </cfRule>
    <cfRule type="cellIs" dxfId="12759" priority="125" operator="between">
      <formula>0%</formula>
      <formula>79%</formula>
    </cfRule>
  </conditionalFormatting>
  <conditionalFormatting sqref="CF180">
    <cfRule type="cellIs" dxfId="12758" priority="115" operator="equal">
      <formula>#REF!</formula>
    </cfRule>
    <cfRule type="cellIs" dxfId="12757" priority="116" operator="greaterThan">
      <formula>1</formula>
    </cfRule>
    <cfRule type="cellIs" dxfId="12756" priority="117" operator="equal">
      <formula>100%</formula>
    </cfRule>
    <cfRule type="cellIs" dxfId="12755" priority="118" operator="between">
      <formula>80%</formula>
      <formula>99%</formula>
    </cfRule>
    <cfRule type="cellIs" dxfId="12754" priority="119" operator="between">
      <formula>0%</formula>
      <formula>79%</formula>
    </cfRule>
  </conditionalFormatting>
  <conditionalFormatting sqref="CF181:CF182">
    <cfRule type="cellIs" dxfId="12753" priority="109" operator="equal">
      <formula>#REF!</formula>
    </cfRule>
    <cfRule type="cellIs" dxfId="12752" priority="110" operator="greaterThan">
      <formula>1</formula>
    </cfRule>
    <cfRule type="cellIs" dxfId="12751" priority="111" operator="equal">
      <formula>100%</formula>
    </cfRule>
    <cfRule type="cellIs" dxfId="12750" priority="112" operator="between">
      <formula>80%</formula>
      <formula>99%</formula>
    </cfRule>
    <cfRule type="cellIs" dxfId="12749" priority="113" operator="between">
      <formula>0%</formula>
      <formula>79%</formula>
    </cfRule>
  </conditionalFormatting>
  <conditionalFormatting sqref="CH180:CH182">
    <cfRule type="cellIs" dxfId="12748" priority="103" operator="equal">
      <formula>#REF!</formula>
    </cfRule>
    <cfRule type="cellIs" dxfId="12747" priority="104" operator="greaterThan">
      <formula>1</formula>
    </cfRule>
    <cfRule type="cellIs" dxfId="12746" priority="105" operator="equal">
      <formula>100%</formula>
    </cfRule>
    <cfRule type="cellIs" dxfId="12745" priority="106" operator="between">
      <formula>80%</formula>
      <formula>99%</formula>
    </cfRule>
    <cfRule type="cellIs" dxfId="12744" priority="107" operator="between">
      <formula>0%</formula>
      <formula>79%</formula>
    </cfRule>
  </conditionalFormatting>
  <conditionalFormatting sqref="CJ180:CJ182">
    <cfRule type="cellIs" dxfId="12743" priority="97" operator="equal">
      <formula>#REF!</formula>
    </cfRule>
    <cfRule type="cellIs" dxfId="12742" priority="98" operator="greaterThan">
      <formula>1</formula>
    </cfRule>
    <cfRule type="cellIs" dxfId="12741" priority="99" operator="equal">
      <formula>100%</formula>
    </cfRule>
    <cfRule type="cellIs" dxfId="12740" priority="100" operator="between">
      <formula>80%</formula>
      <formula>99%</formula>
    </cfRule>
    <cfRule type="cellIs" dxfId="12739" priority="101" operator="between">
      <formula>0%</formula>
      <formula>79%</formula>
    </cfRule>
  </conditionalFormatting>
  <conditionalFormatting sqref="CL180:CL182">
    <cfRule type="cellIs" dxfId="12738" priority="91" operator="equal">
      <formula>#REF!</formula>
    </cfRule>
    <cfRule type="cellIs" dxfId="12737" priority="92" operator="greaterThan">
      <formula>1</formula>
    </cfRule>
    <cfRule type="cellIs" dxfId="12736" priority="93" operator="equal">
      <formula>100%</formula>
    </cfRule>
    <cfRule type="cellIs" dxfId="12735" priority="94" operator="between">
      <formula>80%</formula>
      <formula>99%</formula>
    </cfRule>
    <cfRule type="cellIs" dxfId="12734" priority="95" operator="between">
      <formula>0%</formula>
      <formula>79%</formula>
    </cfRule>
  </conditionalFormatting>
  <conditionalFormatting sqref="CE167:CL167">
    <cfRule type="cellIs" dxfId="12733" priority="85" operator="equal">
      <formula>#REF!</formula>
    </cfRule>
    <cfRule type="cellIs" dxfId="12732" priority="86" operator="greaterThan">
      <formula>1</formula>
    </cfRule>
    <cfRule type="cellIs" dxfId="12731" priority="87" operator="equal">
      <formula>100%</formula>
    </cfRule>
    <cfRule type="cellIs" dxfId="12730" priority="88" operator="between">
      <formula>80%</formula>
      <formula>99%</formula>
    </cfRule>
    <cfRule type="cellIs" dxfId="12729" priority="89" operator="between">
      <formula>0%</formula>
      <formula>79%</formula>
    </cfRule>
  </conditionalFormatting>
  <conditionalFormatting sqref="CE169:CL169">
    <cfRule type="cellIs" dxfId="12728" priority="79" operator="equal">
      <formula>#REF!</formula>
    </cfRule>
    <cfRule type="cellIs" dxfId="12727" priority="80" operator="greaterThan">
      <formula>1</formula>
    </cfRule>
    <cfRule type="cellIs" dxfId="12726" priority="81" operator="equal">
      <formula>100%</formula>
    </cfRule>
    <cfRule type="cellIs" dxfId="12725" priority="82" operator="between">
      <formula>80%</formula>
      <formula>99%</formula>
    </cfRule>
    <cfRule type="cellIs" dxfId="12724" priority="83" operator="between">
      <formula>0%</formula>
      <formula>79%</formula>
    </cfRule>
  </conditionalFormatting>
  <conditionalFormatting sqref="CE183:CL183">
    <cfRule type="cellIs" dxfId="12723" priority="73" operator="equal">
      <formula>#REF!</formula>
    </cfRule>
    <cfRule type="cellIs" dxfId="12722" priority="74" operator="greaterThan">
      <formula>1</formula>
    </cfRule>
    <cfRule type="cellIs" dxfId="12721" priority="75" operator="equal">
      <formula>100%</formula>
    </cfRule>
    <cfRule type="cellIs" dxfId="12720" priority="76" operator="between">
      <formula>80%</formula>
      <formula>99%</formula>
    </cfRule>
    <cfRule type="cellIs" dxfId="12719" priority="77" operator="between">
      <formula>0%</formula>
      <formula>79%</formula>
    </cfRule>
  </conditionalFormatting>
  <conditionalFormatting sqref="CE185:CL185">
    <cfRule type="cellIs" dxfId="12718" priority="67" operator="equal">
      <formula>#REF!</formula>
    </cfRule>
    <cfRule type="cellIs" dxfId="12717" priority="68" operator="greaterThan">
      <formula>1</formula>
    </cfRule>
    <cfRule type="cellIs" dxfId="12716" priority="69" operator="equal">
      <formula>100%</formula>
    </cfRule>
    <cfRule type="cellIs" dxfId="12715" priority="70" operator="between">
      <formula>80%</formula>
      <formula>99%</formula>
    </cfRule>
    <cfRule type="cellIs" dxfId="12714" priority="71" operator="between">
      <formula>0%</formula>
      <formula>79%</formula>
    </cfRule>
  </conditionalFormatting>
  <conditionalFormatting sqref="CE186:CL186">
    <cfRule type="cellIs" dxfId="12713" priority="49" operator="equal">
      <formula>#REF!</formula>
    </cfRule>
    <cfRule type="cellIs" dxfId="12712" priority="50" operator="greaterThan">
      <formula>1</formula>
    </cfRule>
    <cfRule type="cellIs" dxfId="12711" priority="51" operator="equal">
      <formula>100%</formula>
    </cfRule>
    <cfRule type="cellIs" dxfId="12710" priority="52" operator="between">
      <formula>80%</formula>
      <formula>99%</formula>
    </cfRule>
    <cfRule type="cellIs" dxfId="12709" priority="53" operator="between">
      <formula>0%</formula>
      <formula>79%</formula>
    </cfRule>
  </conditionalFormatting>
  <conditionalFormatting sqref="CE184:CL184">
    <cfRule type="cellIs" dxfId="12708" priority="55" operator="equal">
      <formula>#REF!</formula>
    </cfRule>
    <cfRule type="cellIs" dxfId="12707" priority="56" operator="greaterThan">
      <formula>1</formula>
    </cfRule>
    <cfRule type="cellIs" dxfId="12706" priority="57" operator="equal">
      <formula>100%</formula>
    </cfRule>
    <cfRule type="cellIs" dxfId="12705" priority="58" operator="between">
      <formula>80%</formula>
      <formula>99%</formula>
    </cfRule>
    <cfRule type="cellIs" dxfId="12704" priority="59" operator="between">
      <formula>0%</formula>
      <formula>79%</formula>
    </cfRule>
  </conditionalFormatting>
  <conditionalFormatting sqref="CE187:CL187">
    <cfRule type="cellIs" dxfId="12703" priority="43" operator="equal">
      <formula>#REF!</formula>
    </cfRule>
    <cfRule type="cellIs" dxfId="12702" priority="44" operator="greaterThan">
      <formula>1</formula>
    </cfRule>
    <cfRule type="cellIs" dxfId="12701" priority="45" operator="equal">
      <formula>100%</formula>
    </cfRule>
    <cfRule type="cellIs" dxfId="12700" priority="46" operator="between">
      <formula>80%</formula>
      <formula>99%</formula>
    </cfRule>
    <cfRule type="cellIs" dxfId="12699" priority="47" operator="between">
      <formula>0%</formula>
      <formula>79%</formula>
    </cfRule>
  </conditionalFormatting>
  <conditionalFormatting sqref="CE37:CL37">
    <cfRule type="cellIs" dxfId="12698" priority="7" operator="equal">
      <formula>#REF!</formula>
    </cfRule>
    <cfRule type="cellIs" dxfId="12697" priority="8" operator="greaterThan">
      <formula>1</formula>
    </cfRule>
    <cfRule type="cellIs" dxfId="12696" priority="9" operator="equal">
      <formula>100%</formula>
    </cfRule>
    <cfRule type="cellIs" dxfId="12695" priority="10" operator="between">
      <formula>80%</formula>
      <formula>99%</formula>
    </cfRule>
    <cfRule type="cellIs" dxfId="12694" priority="11" operator="between">
      <formula>0%</formula>
      <formula>79%</formula>
    </cfRule>
  </conditionalFormatting>
  <conditionalFormatting sqref="CE175:CL175">
    <cfRule type="cellIs" dxfId="12693" priority="1" operator="equal">
      <formula>#REF!</formula>
    </cfRule>
    <cfRule type="cellIs" dxfId="12692" priority="2" operator="greaterThan">
      <formula>1</formula>
    </cfRule>
    <cfRule type="cellIs" dxfId="12691" priority="3" operator="equal">
      <formula>100%</formula>
    </cfRule>
    <cfRule type="cellIs" dxfId="12690" priority="4" operator="between">
      <formula>80%</formula>
      <formula>99%</formula>
    </cfRule>
    <cfRule type="cellIs" dxfId="12689" priority="5" operator="between">
      <formula>0%</formula>
      <formula>79%</formula>
    </cfRule>
  </conditionalFormatting>
  <dataValidations count="1">
    <dataValidation type="list" allowBlank="1" showInputMessage="1" showErrorMessage="1" sqref="AK11:AK12" xr:uid="{A7F2FBCC-C470-4B04-B48E-DB387DC0B6BA}">
      <formula1>$AI$3:$AI$77</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9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xm:sqref>
        </x14:conditionalFormatting>
        <x14:conditionalFormatting xmlns:xm="http://schemas.microsoft.com/office/excel/2006/main">
          <x14:cfRule type="containsText" priority="378" operator="containsText" id="{6EA3BC76-7B47-4BEE-96CB-02E2E4F496FB}">
            <xm:f>NOT(ISERROR(SEARCH(#REF!,CE20)))</xm:f>
            <xm:f>#REF!</xm:f>
            <x14:dxf>
              <font>
                <color theme="4"/>
              </font>
              <fill>
                <patternFill>
                  <bgColor theme="5" tint="0.59996337778862885"/>
                </patternFill>
              </fill>
            </x14:dxf>
          </x14:cfRule>
          <xm:sqref>CE51:CL52 CE124:CL131 CE43:CL48 CE20:CL20 CE149:CL151 CE157:CE158 CG157:CG158 CI157:CI158 CK157:CK158 CE77:CL80 CE86:CL94 CE113:CL117 CE188:CL189</xm:sqref>
        </x14:conditionalFormatting>
        <x14:conditionalFormatting xmlns:xm="http://schemas.microsoft.com/office/excel/2006/main">
          <x14:cfRule type="containsText" priority="366" operator="containsText" id="{A41498C6-55D0-4A8D-AEC9-6F9FD7FE57AF}">
            <xm:f>NOT(ISERROR(SEARCH(#REF!,CE140)))</xm:f>
            <xm:f>#REF!</xm:f>
            <x14:dxf>
              <font>
                <color theme="4"/>
              </font>
              <fill>
                <patternFill>
                  <bgColor theme="5" tint="0.59996337778862885"/>
                </patternFill>
              </fill>
            </x14:dxf>
          </x14:cfRule>
          <xm:sqref>CE140</xm:sqref>
        </x14:conditionalFormatting>
        <x14:conditionalFormatting xmlns:xm="http://schemas.microsoft.com/office/excel/2006/main">
          <x14:cfRule type="containsText" priority="354" operator="containsText" id="{E006C16F-C755-4477-B673-78B6B6763E49}">
            <xm:f>NOT(ISERROR(SEARCH(#REF!,CE132)))</xm:f>
            <xm:f>#REF!</xm:f>
            <x14:dxf>
              <font>
                <color theme="4"/>
              </font>
              <fill>
                <patternFill>
                  <bgColor theme="5" tint="0.59996337778862885"/>
                </patternFill>
              </fill>
            </x14:dxf>
          </x14:cfRule>
          <xm:sqref>CE132:CL132</xm:sqref>
        </x14:conditionalFormatting>
        <x14:conditionalFormatting xmlns:xm="http://schemas.microsoft.com/office/excel/2006/main">
          <x14:cfRule type="containsText" priority="336" operator="containsText" id="{46040948-1C03-4E3C-B0A6-032BEAAF7D8A}">
            <xm:f>NOT(ISERROR(SEARCH(#REF!,CE50)))</xm:f>
            <xm:f>#REF!</xm:f>
            <x14:dxf>
              <font>
                <color theme="4"/>
              </font>
              <fill>
                <patternFill>
                  <bgColor theme="5" tint="0.59996337778862885"/>
                </patternFill>
              </fill>
            </x14:dxf>
          </x14:cfRule>
          <xm:sqref>CE50 CG50 CI50 CK50</xm:sqref>
        </x14:conditionalFormatting>
        <x14:conditionalFormatting xmlns:xm="http://schemas.microsoft.com/office/excel/2006/main">
          <x14:cfRule type="containsText" priority="330" operator="containsText" id="{E70F7BF7-6F9E-4D05-8053-3A9A899605E0}">
            <xm:f>NOT(ISERROR(SEARCH(#REF!,CE142)))</xm:f>
            <xm:f>#REF!</xm:f>
            <x14:dxf>
              <font>
                <color theme="4"/>
              </font>
              <fill>
                <patternFill>
                  <bgColor theme="5" tint="0.59996337778862885"/>
                </patternFill>
              </fill>
            </x14:dxf>
          </x14:cfRule>
          <xm:sqref>CE142:CL148</xm:sqref>
        </x14:conditionalFormatting>
        <x14:conditionalFormatting xmlns:xm="http://schemas.microsoft.com/office/excel/2006/main">
          <x14:cfRule type="containsText" priority="312" operator="containsText" id="{02D322A3-76C5-4D6F-92D3-3F5489AFEBC0}">
            <xm:f>NOT(ISERROR(SEARCH(#REF!,CE152)))</xm:f>
            <xm:f>#REF!</xm:f>
            <x14:dxf>
              <font>
                <color theme="4"/>
              </font>
              <fill>
                <patternFill>
                  <bgColor theme="5" tint="0.59996337778862885"/>
                </patternFill>
              </fill>
            </x14:dxf>
          </x14:cfRule>
          <xm:sqref>CE152:CL153 CE154 CG154 CI154 CK154 CE159:CL163 CE155:CL156</xm:sqref>
        </x14:conditionalFormatting>
        <x14:conditionalFormatting xmlns:xm="http://schemas.microsoft.com/office/excel/2006/main">
          <x14:cfRule type="containsText" priority="306" operator="containsText" id="{32537C78-C461-4C08-B712-4D8975FA6D8D}">
            <xm:f>NOT(ISERROR(SEARCH(#REF!,CF50)))</xm:f>
            <xm:f>#REF!</xm:f>
            <x14:dxf>
              <font>
                <color theme="4"/>
              </font>
              <fill>
                <patternFill>
                  <bgColor theme="5" tint="0.59996337778862885"/>
                </patternFill>
              </fill>
            </x14:dxf>
          </x14:cfRule>
          <xm:sqref>CF50</xm:sqref>
        </x14:conditionalFormatting>
        <x14:conditionalFormatting xmlns:xm="http://schemas.microsoft.com/office/excel/2006/main">
          <x14:cfRule type="containsText" priority="300" operator="containsText" id="{DE262E13-B5B1-444B-9602-3437EF6B1594}">
            <xm:f>NOT(ISERROR(SEARCH(#REF!,CH50)))</xm:f>
            <xm:f>#REF!</xm:f>
            <x14:dxf>
              <font>
                <color theme="4"/>
              </font>
              <fill>
                <patternFill>
                  <bgColor theme="5" tint="0.59996337778862885"/>
                </patternFill>
              </fill>
            </x14:dxf>
          </x14:cfRule>
          <xm:sqref>CH50</xm:sqref>
        </x14:conditionalFormatting>
        <x14:conditionalFormatting xmlns:xm="http://schemas.microsoft.com/office/excel/2006/main">
          <x14:cfRule type="containsText" priority="294" operator="containsText" id="{C62F0164-3237-4590-AADE-52FABF3F6DB0}">
            <xm:f>NOT(ISERROR(SEARCH(#REF!,CJ50)))</xm:f>
            <xm:f>#REF!</xm:f>
            <x14:dxf>
              <font>
                <color theme="4"/>
              </font>
              <fill>
                <patternFill>
                  <bgColor theme="5" tint="0.59996337778862885"/>
                </patternFill>
              </fill>
            </x14:dxf>
          </x14:cfRule>
          <xm:sqref>CJ50</xm:sqref>
        </x14:conditionalFormatting>
        <x14:conditionalFormatting xmlns:xm="http://schemas.microsoft.com/office/excel/2006/main">
          <x14:cfRule type="containsText" priority="288" operator="containsText" id="{0B7B0C5D-5C30-4DD8-9FD1-32F397CA6C8C}">
            <xm:f>NOT(ISERROR(SEARCH(#REF!,CL50)))</xm:f>
            <xm:f>#REF!</xm:f>
            <x14:dxf>
              <font>
                <color theme="4"/>
              </font>
              <fill>
                <patternFill>
                  <bgColor theme="5" tint="0.59996337778862885"/>
                </patternFill>
              </fill>
            </x14:dxf>
          </x14:cfRule>
          <xm:sqref>CL50</xm:sqref>
        </x14:conditionalFormatting>
        <x14:conditionalFormatting xmlns:xm="http://schemas.microsoft.com/office/excel/2006/main">
          <x14:cfRule type="containsText" priority="282" operator="containsText" id="{D89882B5-2E06-4E60-B4F0-4E2E72705FAC}">
            <xm:f>NOT(ISERROR(SEARCH(#REF!,CE57)))</xm:f>
            <xm:f>#REF!</xm:f>
            <x14:dxf>
              <font>
                <color theme="4"/>
              </font>
              <fill>
                <patternFill>
                  <bgColor theme="5" tint="0.59996337778862885"/>
                </patternFill>
              </fill>
            </x14:dxf>
          </x14:cfRule>
          <xm:sqref>CE57:CE67 CG57:CG67 CI57:CI67 CK57:CK67</xm:sqref>
        </x14:conditionalFormatting>
        <x14:conditionalFormatting xmlns:xm="http://schemas.microsoft.com/office/excel/2006/main">
          <x14:cfRule type="containsText" priority="276" operator="containsText" id="{90BD323C-E337-4285-A66A-F2E2183DE72C}">
            <xm:f>NOT(ISERROR(SEARCH(#REF!,CE69)))</xm:f>
            <xm:f>#REF!</xm:f>
            <x14:dxf>
              <font>
                <color theme="4"/>
              </font>
              <fill>
                <patternFill>
                  <bgColor theme="5" tint="0.59996337778862885"/>
                </patternFill>
              </fill>
            </x14:dxf>
          </x14:cfRule>
          <xm:sqref>CE69:CE72 CG69:CG72 CI69:CI72 CK69:CK72</xm:sqref>
        </x14:conditionalFormatting>
        <x14:conditionalFormatting xmlns:xm="http://schemas.microsoft.com/office/excel/2006/main">
          <x14:cfRule type="containsText" priority="270" operator="containsText" id="{700A21AB-F92C-4D9F-9D01-E7DF45155813}">
            <xm:f>NOT(ISERROR(SEARCH(#REF!,CE68)))</xm:f>
            <xm:f>#REF!</xm:f>
            <x14:dxf>
              <font>
                <color theme="4"/>
              </font>
              <fill>
                <patternFill>
                  <bgColor theme="5" tint="0.59996337778862885"/>
                </patternFill>
              </fill>
            </x14:dxf>
          </x14:cfRule>
          <xm:sqref>CE68 CG68 CI68 CK68</xm:sqref>
        </x14:conditionalFormatting>
        <x14:conditionalFormatting xmlns:xm="http://schemas.microsoft.com/office/excel/2006/main">
          <x14:cfRule type="containsText" priority="264" operator="containsText" id="{4528DFAD-9749-4A65-A594-4C7E226BA19E}">
            <xm:f>NOT(ISERROR(SEARCH(#REF!,CE74)))</xm:f>
            <xm:f>#REF!</xm:f>
            <x14:dxf>
              <font>
                <color theme="4"/>
              </font>
              <fill>
                <patternFill>
                  <bgColor theme="5" tint="0.59996337778862885"/>
                </patternFill>
              </fill>
            </x14:dxf>
          </x14:cfRule>
          <xm:sqref>CE74:CL75</xm:sqref>
        </x14:conditionalFormatting>
        <x14:conditionalFormatting xmlns:xm="http://schemas.microsoft.com/office/excel/2006/main">
          <x14:cfRule type="containsText" priority="252" operator="containsText" id="{13D4B1AC-597A-49D9-A12E-9C97A2A5363C}">
            <xm:f>NOT(ISERROR(SEARCH(#REF!,CE119)))</xm:f>
            <xm:f>#REF!</xm:f>
            <x14:dxf>
              <font>
                <color theme="4"/>
              </font>
              <fill>
                <patternFill>
                  <bgColor theme="5" tint="0.59996337778862885"/>
                </patternFill>
              </fill>
            </x14:dxf>
          </x14:cfRule>
          <xm:sqref>CE119:CL120</xm:sqref>
        </x14:conditionalFormatting>
        <x14:conditionalFormatting xmlns:xm="http://schemas.microsoft.com/office/excel/2006/main">
          <x14:cfRule type="containsText" priority="246" operator="containsText" id="{98F0CD8D-0377-41FD-B87E-86A15E16D23F}">
            <xm:f>NOT(ISERROR(SEARCH(#REF!,CE164)))</xm:f>
            <xm:f>#REF!</xm:f>
            <x14:dxf>
              <font>
                <color theme="4"/>
              </font>
              <fill>
                <patternFill>
                  <bgColor theme="5" tint="0.59996337778862885"/>
                </patternFill>
              </fill>
            </x14:dxf>
          </x14:cfRule>
          <xm:sqref>CE164:CL164</xm:sqref>
        </x14:conditionalFormatting>
        <x14:conditionalFormatting xmlns:xm="http://schemas.microsoft.com/office/excel/2006/main">
          <x14:cfRule type="containsText" priority="240" operator="containsText" id="{D5AC3FA3-2FAF-40AF-961A-8634D52DB4B7}">
            <xm:f>NOT(ISERROR(SEARCH(#REF!,CE166)))</xm:f>
            <xm:f>#REF!</xm:f>
            <x14:dxf>
              <font>
                <color theme="4"/>
              </font>
              <fill>
                <patternFill>
                  <bgColor theme="5" tint="0.59996337778862885"/>
                </patternFill>
              </fill>
            </x14:dxf>
          </x14:cfRule>
          <xm:sqref>CE166:CL166 CE168:CL168 CE170:CL170</xm:sqref>
        </x14:conditionalFormatting>
        <x14:conditionalFormatting xmlns:xm="http://schemas.microsoft.com/office/excel/2006/main">
          <x14:cfRule type="containsText" priority="23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222" operator="containsText" id="{64F2467A-17BB-4AAB-B010-D8D003E645A5}">
            <xm:f>NOT(ISERROR(SEARCH(#REF!,CE42)))</xm:f>
            <xm:f>#REF!</xm:f>
            <x14:dxf>
              <font>
                <color theme="4"/>
              </font>
              <fill>
                <patternFill>
                  <bgColor theme="5" tint="0.59996337778862885"/>
                </patternFill>
              </fill>
            </x14:dxf>
          </x14:cfRule>
          <xm:sqref>CE42:CL42</xm:sqref>
        </x14:conditionalFormatting>
        <x14:conditionalFormatting xmlns:xm="http://schemas.microsoft.com/office/excel/2006/main">
          <x14:cfRule type="containsText" priority="216" operator="containsText" id="{F9D99119-1067-4014-96DD-0833587C6C2A}">
            <xm:f>NOT(ISERROR(SEARCH(#REF!,CE49)))</xm:f>
            <xm:f>#REF!</xm:f>
            <x14:dxf>
              <font>
                <color theme="4"/>
              </font>
              <fill>
                <patternFill>
                  <bgColor theme="5" tint="0.59996337778862885"/>
                </patternFill>
              </fill>
            </x14:dxf>
          </x14:cfRule>
          <xm:sqref>CE49:CL49</xm:sqref>
        </x14:conditionalFormatting>
        <x14:conditionalFormatting xmlns:xm="http://schemas.microsoft.com/office/excel/2006/main">
          <x14:cfRule type="containsText" priority="210" operator="containsText" id="{8BFCBAF8-2997-43AA-B4CB-42E341217E76}">
            <xm:f>NOT(ISERROR(SEARCH(#REF!,CE133)))</xm:f>
            <xm:f>#REF!</xm:f>
            <x14:dxf>
              <font>
                <color theme="4"/>
              </font>
              <fill>
                <patternFill>
                  <bgColor theme="5" tint="0.59996337778862885"/>
                </patternFill>
              </fill>
            </x14:dxf>
          </x14:cfRule>
          <xm:sqref>CE133:CL133</xm:sqref>
        </x14:conditionalFormatting>
        <x14:conditionalFormatting xmlns:xm="http://schemas.microsoft.com/office/excel/2006/main">
          <x14:cfRule type="containsText" priority="204" operator="containsText" id="{7149D677-3E44-4ADB-8FB4-EF5DDDA78A50}">
            <xm:f>NOT(ISERROR(SEARCH(#REF!,CE141)))</xm:f>
            <xm:f>#REF!</xm:f>
            <x14:dxf>
              <font>
                <color theme="4"/>
              </font>
              <fill>
                <patternFill>
                  <bgColor theme="5" tint="0.59996337778862885"/>
                </patternFill>
              </fill>
            </x14:dxf>
          </x14:cfRule>
          <xm:sqref>CE141:CL141</xm:sqref>
        </x14:conditionalFormatting>
        <x14:conditionalFormatting xmlns:xm="http://schemas.microsoft.com/office/excel/2006/main">
          <x14:cfRule type="containsText" priority="192" operator="containsText" id="{A724C3E8-11E5-4D49-94B9-5DC49A331F88}">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186" operator="containsText" id="{7B77C576-E471-4EB9-8C9D-67226FBACDB9}">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180" operator="containsText" id="{C68E2EE1-7152-474A-9835-4F4885AA5B73}">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174" operator="containsText" id="{B024841C-C5BE-4E89-B748-0634F701B409}">
            <xm:f>NOT(ISERROR(SEARCH(#REF!,CE174)))</xm:f>
            <xm:f>#REF!</xm:f>
            <x14:dxf>
              <font>
                <color theme="4"/>
              </font>
              <fill>
                <patternFill>
                  <bgColor theme="5" tint="0.59996337778862885"/>
                </patternFill>
              </fill>
            </x14:dxf>
          </x14:cfRule>
          <xm:sqref>CE174:CL174</xm:sqref>
        </x14:conditionalFormatting>
        <x14:conditionalFormatting xmlns:xm="http://schemas.microsoft.com/office/excel/2006/main">
          <x14:cfRule type="containsText" priority="168" operator="containsText" id="{AB3F8E5C-E256-4253-933B-B648C1699252}">
            <xm:f>NOT(ISERROR(SEARCH(#REF!,CE179)))</xm:f>
            <xm:f>#REF!</xm:f>
            <x14:dxf>
              <font>
                <color theme="4"/>
              </font>
              <fill>
                <patternFill>
                  <bgColor theme="5" tint="0.59996337778862885"/>
                </patternFill>
              </fill>
            </x14:dxf>
          </x14:cfRule>
          <xm:sqref>CE179:CL179</xm:sqref>
        </x14:conditionalFormatting>
        <x14:conditionalFormatting xmlns:xm="http://schemas.microsoft.com/office/excel/2006/main">
          <x14:cfRule type="containsText" priority="162" operator="containsText" id="{1B3B8ED6-F5C1-4095-8356-F71D3E9B2167}">
            <xm:f>NOT(ISERROR(SEARCH(#REF!,CE177)))</xm:f>
            <xm:f>#REF!</xm:f>
            <x14:dxf>
              <font>
                <color theme="4"/>
              </font>
              <fill>
                <patternFill>
                  <bgColor theme="5" tint="0.59996337778862885"/>
                </patternFill>
              </fill>
            </x14:dxf>
          </x14:cfRule>
          <xm:sqref>CE177:CL177</xm:sqref>
        </x14:conditionalFormatting>
        <x14:conditionalFormatting xmlns:xm="http://schemas.microsoft.com/office/excel/2006/main">
          <x14:cfRule type="containsText" priority="156" operator="containsText" id="{FDCA0278-EA96-452F-8251-A3CF5C6E108A}">
            <xm:f>NOT(ISERROR(SEARCH(#REF!,CE178)))</xm:f>
            <xm:f>#REF!</xm:f>
            <x14:dxf>
              <font>
                <color theme="4"/>
              </font>
              <fill>
                <patternFill>
                  <bgColor theme="5" tint="0.59996337778862885"/>
                </patternFill>
              </fill>
            </x14:dxf>
          </x14:cfRule>
          <xm:sqref>CE178:CL178</xm:sqref>
        </x14:conditionalFormatting>
        <x14:conditionalFormatting xmlns:xm="http://schemas.microsoft.com/office/excel/2006/main">
          <x14:cfRule type="containsText" priority="150" operator="containsText" id="{E11D5AB6-704C-492D-A245-EC11CE14CFE9}">
            <xm:f>NOT(ISERROR(SEARCH(#REF!,CF140)))</xm:f>
            <xm:f>#REF!</xm:f>
            <x14:dxf>
              <font>
                <color theme="4"/>
              </font>
              <fill>
                <patternFill>
                  <bgColor theme="5" tint="0.59996337778862885"/>
                </patternFill>
              </fill>
            </x14:dxf>
          </x14:cfRule>
          <xm:sqref>CF140:CL140</xm:sqref>
        </x14:conditionalFormatting>
        <x14:conditionalFormatting xmlns:xm="http://schemas.microsoft.com/office/excel/2006/main">
          <x14:cfRule type="containsText" priority="144" operator="containsText" id="{A29D710B-2B33-4B53-A29B-8EA5831A26AD}">
            <xm:f>NOT(ISERROR(SEARCH(#REF!,CE165)))</xm:f>
            <xm:f>#REF!</xm:f>
            <x14:dxf>
              <font>
                <color theme="4"/>
              </font>
              <fill>
                <patternFill>
                  <bgColor theme="5" tint="0.59996337778862885"/>
                </patternFill>
              </fill>
            </x14:dxf>
          </x14:cfRule>
          <xm:sqref>CE165:CL165</xm:sqref>
        </x14:conditionalFormatting>
        <x14:conditionalFormatting xmlns:xm="http://schemas.microsoft.com/office/excel/2006/main">
          <x14:cfRule type="containsText" priority="138" operator="containsText" id="{4836BDCB-BDA5-4BE7-B816-F928003A6201}">
            <xm:f>NOT(ISERROR(SEARCH(#REF!,CE176)))</xm:f>
            <xm:f>#REF!</xm:f>
            <x14:dxf>
              <font>
                <color theme="4"/>
              </font>
              <fill>
                <patternFill>
                  <bgColor theme="5" tint="0.59996337778862885"/>
                </patternFill>
              </fill>
            </x14:dxf>
          </x14:cfRule>
          <xm:sqref>CE176:CL176</xm:sqref>
        </x14:conditionalFormatting>
        <x14:conditionalFormatting xmlns:xm="http://schemas.microsoft.com/office/excel/2006/main">
          <x14:cfRule type="containsText" priority="132" operator="containsText" id="{85221974-89C4-4AFE-8F73-4ACF980E62D2}">
            <xm:f>NOT(ISERROR(SEARCH(#REF!,CE181)))</xm:f>
            <xm:f>#REF!</xm:f>
            <x14:dxf>
              <font>
                <color theme="4"/>
              </font>
              <fill>
                <patternFill>
                  <bgColor theme="5" tint="0.59996337778862885"/>
                </patternFill>
              </fill>
            </x14:dxf>
          </x14:cfRule>
          <xm:sqref>CE181:CE182 CG181:CG182 CI181:CI182 CK181:CK182</xm:sqref>
        </x14:conditionalFormatting>
        <x14:conditionalFormatting xmlns:xm="http://schemas.microsoft.com/office/excel/2006/main">
          <x14:cfRule type="containsText" priority="126" operator="containsText" id="{419CE7AE-C2DF-4A48-A8DE-C82A2BADAB93}">
            <xm:f>NOT(ISERROR(SEARCH(#REF!,CE180)))</xm:f>
            <xm:f>#REF!</xm:f>
            <x14:dxf>
              <font>
                <color theme="4"/>
              </font>
              <fill>
                <patternFill>
                  <bgColor theme="5" tint="0.59996337778862885"/>
                </patternFill>
              </fill>
            </x14:dxf>
          </x14:cfRule>
          <xm:sqref>CE180 CG180 CI180 CK180</xm:sqref>
        </x14:conditionalFormatting>
        <x14:conditionalFormatting xmlns:xm="http://schemas.microsoft.com/office/excel/2006/main">
          <x14:cfRule type="containsText" priority="120" operator="containsText" id="{60176BF5-B217-4C6C-BA51-5F8F279ED88F}">
            <xm:f>NOT(ISERROR(SEARCH(#REF!,CF180)))</xm:f>
            <xm:f>#REF!</xm:f>
            <x14:dxf>
              <font>
                <color theme="4"/>
              </font>
              <fill>
                <patternFill>
                  <bgColor theme="5" tint="0.59996337778862885"/>
                </patternFill>
              </fill>
            </x14:dxf>
          </x14:cfRule>
          <xm:sqref>CF180</xm:sqref>
        </x14:conditionalFormatting>
        <x14:conditionalFormatting xmlns:xm="http://schemas.microsoft.com/office/excel/2006/main">
          <x14:cfRule type="containsText" priority="114" operator="containsText" id="{33B5BA16-A17F-4C6F-8DCD-C5EF81548F32}">
            <xm:f>NOT(ISERROR(SEARCH(#REF!,CF181)))</xm:f>
            <xm:f>#REF!</xm:f>
            <x14:dxf>
              <font>
                <color theme="4"/>
              </font>
              <fill>
                <patternFill>
                  <bgColor theme="5" tint="0.59996337778862885"/>
                </patternFill>
              </fill>
            </x14:dxf>
          </x14:cfRule>
          <xm:sqref>CF181:CF182</xm:sqref>
        </x14:conditionalFormatting>
        <x14:conditionalFormatting xmlns:xm="http://schemas.microsoft.com/office/excel/2006/main">
          <x14:cfRule type="containsText" priority="108" operator="containsText" id="{A8E1C0E6-DF3E-4F59-A86E-9BE28111B8E9}">
            <xm:f>NOT(ISERROR(SEARCH(#REF!,CH180)))</xm:f>
            <xm:f>#REF!</xm:f>
            <x14:dxf>
              <font>
                <color theme="4"/>
              </font>
              <fill>
                <patternFill>
                  <bgColor theme="5" tint="0.59996337778862885"/>
                </patternFill>
              </fill>
            </x14:dxf>
          </x14:cfRule>
          <xm:sqref>CH180:CH182</xm:sqref>
        </x14:conditionalFormatting>
        <x14:conditionalFormatting xmlns:xm="http://schemas.microsoft.com/office/excel/2006/main">
          <x14:cfRule type="containsText" priority="102" operator="containsText" id="{86A2B197-CB67-4C79-BCF6-A9D8FE935EA7}">
            <xm:f>NOT(ISERROR(SEARCH(#REF!,CJ180)))</xm:f>
            <xm:f>#REF!</xm:f>
            <x14:dxf>
              <font>
                <color theme="4"/>
              </font>
              <fill>
                <patternFill>
                  <bgColor theme="5" tint="0.59996337778862885"/>
                </patternFill>
              </fill>
            </x14:dxf>
          </x14:cfRule>
          <xm:sqref>CJ180:CJ182</xm:sqref>
        </x14:conditionalFormatting>
        <x14:conditionalFormatting xmlns:xm="http://schemas.microsoft.com/office/excel/2006/main">
          <x14:cfRule type="containsText" priority="96" operator="containsText" id="{60730825-FD0D-4D72-B469-C060CBA4A03F}">
            <xm:f>NOT(ISERROR(SEARCH(#REF!,CL180)))</xm:f>
            <xm:f>#REF!</xm:f>
            <x14:dxf>
              <font>
                <color theme="4"/>
              </font>
              <fill>
                <patternFill>
                  <bgColor theme="5" tint="0.59996337778862885"/>
                </patternFill>
              </fill>
            </x14:dxf>
          </x14:cfRule>
          <xm:sqref>CL180:CL182</xm:sqref>
        </x14:conditionalFormatting>
        <x14:conditionalFormatting xmlns:xm="http://schemas.microsoft.com/office/excel/2006/main">
          <x14:cfRule type="containsText" priority="90" operator="containsText" id="{271B4C6F-4F3F-4705-9AD0-D02EE861EFBE}">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84" operator="containsText" id="{1A354EC5-31DE-4A4A-8CBE-6596C5F09CEF}">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32943A91-5464-45D2-A762-5CF5AA4C68B6}">
            <xm:f>NOT(ISERROR(SEARCH(#REF!,CE183)))</xm:f>
            <xm:f>#REF!</xm:f>
            <x14:dxf>
              <font>
                <color theme="4"/>
              </font>
              <fill>
                <patternFill>
                  <bgColor theme="5" tint="0.59996337778862885"/>
                </patternFill>
              </fill>
            </x14:dxf>
          </x14:cfRule>
          <xm:sqref>CE183:CL183</xm:sqref>
        </x14:conditionalFormatting>
        <x14:conditionalFormatting xmlns:xm="http://schemas.microsoft.com/office/excel/2006/main">
          <x14:cfRule type="containsText" priority="72" operator="containsText" id="{87C4090E-43AA-4E3F-ADD4-9475FF87760B}">
            <xm:f>NOT(ISERROR(SEARCH(#REF!,CE185)))</xm:f>
            <xm:f>#REF!</xm:f>
            <x14:dxf>
              <font>
                <color theme="4"/>
              </font>
              <fill>
                <patternFill>
                  <bgColor theme="5" tint="0.59996337778862885"/>
                </patternFill>
              </fill>
            </x14:dxf>
          </x14:cfRule>
          <xm:sqref>CE185:CL185</xm:sqref>
        </x14:conditionalFormatting>
        <x14:conditionalFormatting xmlns:xm="http://schemas.microsoft.com/office/excel/2006/main">
          <x14:cfRule type="containsText" priority="54" operator="containsText" id="{F0710E37-2082-421F-8C15-C0C6B8469E32}">
            <xm:f>NOT(ISERROR(SEARCH(#REF!,CE186)))</xm:f>
            <xm:f>#REF!</xm:f>
            <x14:dxf>
              <font>
                <color theme="4"/>
              </font>
              <fill>
                <patternFill>
                  <bgColor theme="5" tint="0.59996337778862885"/>
                </patternFill>
              </fill>
            </x14:dxf>
          </x14:cfRule>
          <xm:sqref>CE186:CL186</xm:sqref>
        </x14:conditionalFormatting>
        <x14:conditionalFormatting xmlns:xm="http://schemas.microsoft.com/office/excel/2006/main">
          <x14:cfRule type="containsText" priority="60" operator="containsText" id="{6EC72F39-3487-4DC6-B3EC-08114E26740F}">
            <xm:f>NOT(ISERROR(SEARCH(#REF!,CE184)))</xm:f>
            <xm:f>#REF!</xm:f>
            <x14:dxf>
              <font>
                <color theme="4"/>
              </font>
              <fill>
                <patternFill>
                  <bgColor theme="5" tint="0.59996337778862885"/>
                </patternFill>
              </fill>
            </x14:dxf>
          </x14:cfRule>
          <xm:sqref>CE184:CL184</xm:sqref>
        </x14:conditionalFormatting>
        <x14:conditionalFormatting xmlns:xm="http://schemas.microsoft.com/office/excel/2006/main">
          <x14:cfRule type="containsText" priority="48" operator="containsText" id="{789F583C-054D-4766-BB41-23183E4BAE30}">
            <xm:f>NOT(ISERROR(SEARCH(#REF!,CE187)))</xm:f>
            <xm:f>#REF!</xm:f>
            <x14:dxf>
              <font>
                <color theme="4"/>
              </font>
              <fill>
                <patternFill>
                  <bgColor theme="5" tint="0.59996337778862885"/>
                </patternFill>
              </fill>
            </x14:dxf>
          </x14:cfRule>
          <xm:sqref>CE187:CL187</xm:sqref>
        </x14:conditionalFormatting>
        <x14:conditionalFormatting xmlns:xm="http://schemas.microsoft.com/office/excel/2006/main">
          <x14:cfRule type="containsText" priority="12" operator="containsText" id="{C794C202-D648-4D06-9EA7-5DEA0069B80F}">
            <xm:f>NOT(ISERROR(SEARCH(#REF!,CE37)))</xm:f>
            <xm:f>#REF!</xm:f>
            <x14:dxf>
              <font>
                <color theme="4"/>
              </font>
              <fill>
                <patternFill>
                  <bgColor theme="5" tint="0.59996337778862885"/>
                </patternFill>
              </fill>
            </x14:dxf>
          </x14:cfRule>
          <xm:sqref>CE37:CL37</xm:sqref>
        </x14:conditionalFormatting>
        <x14:conditionalFormatting xmlns:xm="http://schemas.microsoft.com/office/excel/2006/main">
          <x14:cfRule type="containsText" priority="6" operator="containsText" id="{40D3F217-206D-44AA-BA78-06DCECBB71B6}">
            <xm:f>NOT(ISERROR(SEARCH(#REF!,CE175)))</xm:f>
            <xm:f>#REF!</xm:f>
            <x14:dxf>
              <font>
                <color theme="4"/>
              </font>
              <fill>
                <patternFill>
                  <bgColor theme="5" tint="0.59996337778862885"/>
                </patternFill>
              </fill>
            </x14:dxf>
          </x14:cfRule>
          <xm:sqref>CE175:CL175</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T141 T168 T187 T14:T139 T152:T166 T170:T182</xm:sqref>
        </x14:dataValidation>
        <x14:dataValidation type="list" allowBlank="1" showInputMessage="1" showErrorMessage="1" xr:uid="{00000000-0002-0000-0400-000003000000}">
          <x14:formula1>
            <xm:f>'TAB. REF. PA'!$F$4:$F$10</xm:f>
          </x14:formula1>
          <xm:sqref>AE9:AE10 AE155:AE156 AE113:AE153 AE14:AE29 AE187 AE31:AE94 AE159:AE179</xm:sqref>
        </x14:dataValidation>
        <x14:dataValidation type="list" allowBlank="1" showInputMessage="1" showErrorMessage="1" xr:uid="{00000000-0002-0000-0400-000004000000}">
          <x14:formula1>
            <xm:f>'TAB. REF. PA'!$H$4:$H$21</xm:f>
          </x14:formula1>
          <xm:sqref>AF9:AF10 AF187 AF155:AF156 AF113:AF153 AF14:AF29 AF44:AF94 AF31:AF42 AF159:AF179</xm:sqref>
        </x14:dataValidation>
        <x14:dataValidation type="list" allowBlank="1" showInputMessage="1" showErrorMessage="1" xr:uid="{00000000-0002-0000-0400-000005000000}">
          <x14:formula1>
            <xm:f>'TAB. REF. PA'!$J$4:$J$6</xm:f>
          </x14:formula1>
          <xm:sqref>AG9:AH10 AG155:AG156 AG113:AG153 AG14:AG29 AG187 AG31:AG94 AG159:AG179</xm:sqref>
        </x14:dataValidation>
        <x14:dataValidation type="list" allowBlank="1" showInputMessage="1" showErrorMessage="1" xr:uid="{00000000-0002-0000-0400-000008000000}">
          <x14:formula1>
            <xm:f>'TAB. REF. PA'!$U$4:$U$24</xm:f>
          </x14:formula1>
          <xm:sqref>AL9 AL14 AL145 AL148 AL150:AL151 AL56:AL94 AL113:AL131</xm:sqref>
        </x14:dataValidation>
        <x14:dataValidation type="list" allowBlank="1" showInputMessage="1" showErrorMessage="1" xr:uid="{00000000-0002-0000-0400-000009000000}">
          <x14:formula1>
            <xm:f>'TAB. REF. PA'!$D$4:$D$10</xm:f>
          </x14:formula1>
          <xm:sqref>T140</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AK122</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AL132</xm:sqref>
        </x14:dataValidation>
        <x14:dataValidation type="list" allowBlank="1" showInputMessage="1" showErrorMessage="1" xr:uid="{00000000-0002-0000-0400-000010000000}">
          <x14:formula1>
            <xm:f>'TAB. REF. PA'!$B$4:$B$14</xm:f>
          </x14:formula1>
          <xm:sqref>B9:B12 B14:B16 B176:B179 B183:B189 B146:B173 B18:B144</xm:sqref>
        </x14:dataValidation>
        <x14:dataValidation type="list" allowBlank="1" showInputMessage="1" showErrorMessage="1" xr:uid="{00000000-0002-0000-0400-000011000000}">
          <x14:formula1>
            <xm:f>'TAB. REF. PA'!$R$4:$R$12</xm:f>
          </x14:formula1>
          <xm:sqref>C138:C141 C125:C134 C9:C12 C121:C123 C64 C57:C62 C176:C182 C67:C117 C152:C165 C187 C17:C55</xm:sqref>
        </x14:dataValidation>
        <x14:dataValidation type="list" allowBlank="1" showInputMessage="1" showErrorMessage="1" xr:uid="{00000000-0002-0000-0400-000012000000}">
          <x14:formula1>
            <xm:f>'TAB. REF. PA'!$Y$4:$Y$14</xm:f>
          </x14:formula1>
          <xm:sqref>A9:A12 A183:A189 A14:A179</xm:sqref>
        </x14:dataValidation>
        <x14:dataValidation type="list" allowBlank="1" showInputMessage="1" showErrorMessage="1" xr:uid="{00000000-0002-0000-0400-000013000000}">
          <x14:formula1>
            <xm:f>'TAB. REF. PA'!$X$4:$X$9</xm:f>
          </x14:formula1>
          <xm:sqref>U27:U28 U36:V36 V9:V12 V14:V35 V187 V37:V182</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T142:T151 C142:C144 C146:C147 C149</xm:sqref>
        </x14:dataValidation>
        <x14:dataValidation type="list" allowBlank="1" showInputMessage="1" showErrorMessage="1" xr:uid="{00000000-0002-0000-0400-000016000000}">
          <x14:formula1>
            <xm:f>'TAB. REF. PA'!$U$4:$U$25</xm:f>
          </x14:formula1>
          <xm:sqref>AL10 AL31:AL42 AL49:AL55 AL133 AL141:AL144 AL146:AL147 AL149 AL152:AL153 AL155:AL156 AL15:AL29 AL187 AL159:AL179</xm:sqref>
        </x14:dataValidation>
        <x14:dataValidation type="list" allowBlank="1" showInputMessage="1" showErrorMessage="1" xr:uid="{00000000-0002-0000-0400-000006000000}">
          <x14:formula1>
            <xm:f>'TAB. REF. PA'!$L$4:$L$11</xm:f>
          </x14:formula1>
          <xm:sqref>AH155:AH156 AH113:AH153 AH14:AH29 AH187 AH31:AH94 AH159:AH179</xm:sqref>
        </x14:dataValidation>
        <x14:dataValidation type="list" allowBlank="1" showInputMessage="1" showErrorMessage="1" xr:uid="{6E66EFCD-FCD2-4B34-863C-5A36DB972E85}">
          <x14:formula1>
            <xm:f>'TAB. REF. PA'!$R$4:$R$13</xm:f>
          </x14:formula1>
          <xm:sqref>C118:C120</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AL43:AL48</xm:sqref>
        </x14:dataValidation>
        <x14:dataValidation type="list" allowBlank="1" showInputMessage="1" showErrorMessage="1" xr:uid="{00000000-0002-0000-0400-000007000000}">
          <x14:formula1>
            <xm:f>'TAB. REF. PA'!$N$4:$N$28</xm:f>
          </x14:formula1>
          <xm:sqref>AI113:AI132 AI43:AI48 AI159:AI160 AI164 AI134:AI140 AI142:AI153 AI9 AI21:AI29 AI50:AI94 AI31:AI41</xm:sqref>
        </x14:dataValidation>
        <x14:dataValidation type="list" allowBlank="1" showInputMessage="1" showErrorMessage="1" xr:uid="{00000000-0002-0000-0400-000015000000}">
          <x14:formula1>
            <xm:f>'TAB. REF. PA'!$N$4:$N$33</xm:f>
          </x14:formula1>
          <xm:sqref>AI14:AI20 AI42 AI49 AI133 AI141 AI155:AI156 AI161:AI163 AI158 AI10 AI187 AI165:AI179</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AF43</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AL134:AL140</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AE180:AI182</xm:sqref>
        </x14:dataValidation>
        <x14:dataValidation type="list" allowBlank="1" showInputMessage="1" showErrorMessage="1" xr:uid="{00000000-0002-0000-0400-000017000000}">
          <x14:formula1>
            <xm:f>'TAB. REF. PA'!$W$3:$W$7</xm:f>
          </x14:formula1>
          <xm:sqref>AP9:AP99 AP188 AP185:AP186 AP113:AP183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90" zoomScaleNormal="90" workbookViewId="0">
      <pane ySplit="7" topLeftCell="A8" activePane="bottomLeft" state="frozen"/>
      <selection activeCell="I2" sqref="A2:L4"/>
      <selection pane="bottomLeft" activeCell="L17" sqref="L17"/>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customWidth="1"/>
    <col min="39" max="39" width="35.7109375" style="6" customWidth="1"/>
    <col min="40" max="40" width="27.7109375" style="6" customWidth="1"/>
    <col min="41" max="41" width="17.140625" style="6" customWidth="1"/>
    <col min="42" max="42" width="27.7109375" style="6" customWidth="1"/>
    <col min="43" max="43" width="13.7109375" style="6" customWidth="1"/>
    <col min="44" max="44" width="15.7109375" style="6" customWidth="1"/>
    <col min="45" max="45" width="13.7109375" style="6" customWidth="1"/>
    <col min="46" max="46" width="15.7109375" style="6" customWidth="1"/>
    <col min="47" max="47" width="50.7109375" style="6" customWidth="1"/>
    <col min="48" max="48" width="13.7109375" style="6" customWidth="1"/>
    <col min="49" max="49" width="35.7109375" style="6" customWidth="1"/>
    <col min="50" max="50" width="27.7109375" style="6" customWidth="1"/>
    <col min="51" max="51" width="18" style="6" customWidth="1"/>
    <col min="52" max="52" width="27.7109375" style="6" customWidth="1"/>
    <col min="53" max="53" width="13.7109375" style="6" customWidth="1"/>
    <col min="54" max="54" width="15.7109375" style="6" customWidth="1"/>
    <col min="55" max="55" width="13.7109375" style="6" customWidth="1"/>
    <col min="56" max="56" width="15.7109375" style="6" customWidth="1"/>
    <col min="57" max="57" width="50.7109375" style="6" customWidth="1"/>
    <col min="58" max="58" width="13.7109375" style="6" customWidth="1"/>
    <col min="59" max="59" width="35.7109375" style="6" customWidth="1"/>
    <col min="60" max="60" width="27.7109375" style="6" customWidth="1"/>
    <col min="61" max="61" width="13.7109375" style="6" customWidth="1"/>
    <col min="62" max="62" width="27.7109375" style="6" customWidth="1"/>
    <col min="63" max="63" width="13.7109375" style="6" customWidth="1"/>
    <col min="64" max="64" width="15.7109375" style="6" customWidth="1"/>
    <col min="65" max="65" width="13.7109375" style="6" customWidth="1"/>
    <col min="66" max="66" width="15.7109375" style="6" customWidth="1"/>
    <col min="67" max="67" width="50.7109375" style="6"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976"/>
      <c r="B1" s="977"/>
      <c r="C1" s="982" t="s">
        <v>246</v>
      </c>
      <c r="D1" s="983"/>
      <c r="E1" s="983"/>
      <c r="F1" s="983"/>
      <c r="G1" s="983"/>
      <c r="H1" s="984"/>
      <c r="I1" s="985" t="s">
        <v>247</v>
      </c>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6"/>
      <c r="BT1" s="1102"/>
      <c r="BU1" s="1103"/>
      <c r="BV1" s="1103"/>
      <c r="BW1" s="1103"/>
    </row>
    <row r="2" spans="1:75" ht="24" customHeight="1" x14ac:dyDescent="0.25">
      <c r="A2" s="978"/>
      <c r="B2" s="979"/>
      <c r="C2" s="1003" t="s">
        <v>248</v>
      </c>
      <c r="D2" s="1004"/>
      <c r="E2" s="1004"/>
      <c r="F2" s="1004"/>
      <c r="G2" s="1004"/>
      <c r="H2" s="1005"/>
      <c r="I2" s="1006" t="s">
        <v>254</v>
      </c>
      <c r="J2" s="1008" t="s">
        <v>250</v>
      </c>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t="s">
        <v>249</v>
      </c>
      <c r="BS2" s="1010">
        <v>2</v>
      </c>
      <c r="BT2" s="1104"/>
      <c r="BU2" s="1105"/>
      <c r="BV2" s="1105"/>
      <c r="BW2" s="1105"/>
    </row>
    <row r="3" spans="1:75" ht="25.5" customHeight="1" thickBot="1" x14ac:dyDescent="0.3">
      <c r="A3" s="980"/>
      <c r="B3" s="981"/>
      <c r="C3" s="1012" t="s">
        <v>242</v>
      </c>
      <c r="D3" s="1013"/>
      <c r="E3" s="1013"/>
      <c r="F3" s="1013"/>
      <c r="G3" s="1013"/>
      <c r="H3" s="1014"/>
      <c r="I3" s="1007"/>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11"/>
      <c r="BT3" s="1106"/>
      <c r="BU3" s="1107"/>
      <c r="BV3" s="1107"/>
      <c r="BW3" s="1107"/>
    </row>
    <row r="4" spans="1:75" ht="15.75" x14ac:dyDescent="0.25">
      <c r="E4" s="58"/>
      <c r="F4" s="58"/>
      <c r="G4" s="58"/>
      <c r="H4" s="58"/>
      <c r="I4" s="58"/>
      <c r="J4" s="58"/>
      <c r="K4" s="58"/>
      <c r="L4" s="58"/>
      <c r="M4" s="58"/>
      <c r="N4" s="58"/>
      <c r="O4" s="58"/>
      <c r="P4" s="58"/>
    </row>
    <row r="5" spans="1:75" s="81" customFormat="1" ht="13.5" thickBot="1" x14ac:dyDescent="0.25">
      <c r="A5" s="142" t="s">
        <v>346</v>
      </c>
      <c r="B5" s="142"/>
      <c r="C5" s="22"/>
      <c r="D5" s="22"/>
      <c r="E5" s="993"/>
      <c r="F5" s="993"/>
      <c r="G5" s="993"/>
      <c r="H5" s="993"/>
      <c r="I5" s="993"/>
      <c r="J5" s="993"/>
      <c r="K5" s="993"/>
      <c r="L5" s="993"/>
      <c r="M5" s="993"/>
      <c r="N5" s="993"/>
      <c r="O5" s="993"/>
      <c r="P5" s="993"/>
      <c r="Q5" s="22"/>
      <c r="R5" s="143"/>
      <c r="S5" s="22"/>
      <c r="T5" s="22"/>
      <c r="U5" s="22"/>
      <c r="V5" s="22"/>
      <c r="W5" s="22"/>
      <c r="X5" s="22"/>
      <c r="Y5" s="22"/>
      <c r="Z5" s="22"/>
      <c r="AA5" s="22"/>
    </row>
    <row r="6" spans="1:75" s="81" customFormat="1" ht="13.5" thickBot="1" x14ac:dyDescent="0.25">
      <c r="A6" s="22"/>
      <c r="B6" s="22"/>
      <c r="C6" s="22"/>
      <c r="D6" s="22"/>
      <c r="E6" s="22"/>
      <c r="F6" s="22"/>
      <c r="G6" s="22"/>
      <c r="H6" s="22"/>
      <c r="I6" s="22"/>
      <c r="J6" s="144"/>
      <c r="K6" s="22"/>
      <c r="L6" s="22"/>
      <c r="M6" s="22"/>
      <c r="N6" s="22"/>
      <c r="O6" s="22"/>
      <c r="P6" s="22"/>
      <c r="Q6" s="143"/>
      <c r="R6" s="22"/>
      <c r="S6" s="22"/>
      <c r="T6" s="22"/>
      <c r="U6" s="22"/>
      <c r="V6" s="22"/>
      <c r="W6" s="22"/>
      <c r="X6" s="22"/>
      <c r="Y6" s="22"/>
      <c r="Z6" s="22"/>
      <c r="AA6" s="22"/>
      <c r="AB6" s="987" t="s">
        <v>190</v>
      </c>
      <c r="AC6" s="988"/>
      <c r="AD6" s="988"/>
      <c r="AE6" s="988"/>
      <c r="AF6" s="988"/>
      <c r="AG6" s="988"/>
      <c r="AH6" s="988"/>
      <c r="AI6" s="988"/>
      <c r="AJ6" s="988"/>
      <c r="AK6" s="989"/>
      <c r="AL6" s="990" t="s">
        <v>192</v>
      </c>
      <c r="AM6" s="991"/>
      <c r="AN6" s="991"/>
      <c r="AO6" s="991"/>
      <c r="AP6" s="991"/>
      <c r="AQ6" s="991"/>
      <c r="AR6" s="991"/>
      <c r="AS6" s="991"/>
      <c r="AT6" s="991"/>
      <c r="AU6" s="992"/>
      <c r="AV6" s="987" t="s">
        <v>191</v>
      </c>
      <c r="AW6" s="988"/>
      <c r="AX6" s="988"/>
      <c r="AY6" s="988"/>
      <c r="AZ6" s="988"/>
      <c r="BA6" s="988"/>
      <c r="BB6" s="988"/>
      <c r="BC6" s="988"/>
      <c r="BD6" s="988"/>
      <c r="BE6" s="989"/>
      <c r="BF6" s="990" t="s">
        <v>193</v>
      </c>
      <c r="BG6" s="991"/>
      <c r="BH6" s="991"/>
      <c r="BI6" s="991"/>
      <c r="BJ6" s="991"/>
      <c r="BK6" s="991"/>
      <c r="BL6" s="991"/>
      <c r="BM6" s="991"/>
      <c r="BN6" s="991"/>
      <c r="BO6" s="992"/>
      <c r="BP6" s="994" t="s">
        <v>1158</v>
      </c>
      <c r="BQ6" s="995"/>
      <c r="BR6" s="995"/>
      <c r="BS6" s="995"/>
      <c r="BT6" s="995"/>
      <c r="BU6" s="995"/>
      <c r="BV6" s="995"/>
      <c r="BW6" s="996"/>
    </row>
    <row r="7" spans="1:75" s="174" customFormat="1" ht="50.25" customHeight="1" x14ac:dyDescent="0.2">
      <c r="A7" s="145" t="s">
        <v>30</v>
      </c>
      <c r="B7" s="146" t="s">
        <v>31</v>
      </c>
      <c r="C7" s="146" t="s">
        <v>255</v>
      </c>
      <c r="D7" s="146" t="s">
        <v>57</v>
      </c>
      <c r="E7" s="146" t="s">
        <v>257</v>
      </c>
      <c r="F7" s="146" t="s">
        <v>256</v>
      </c>
      <c r="G7" s="146" t="s">
        <v>258</v>
      </c>
      <c r="H7" s="146" t="s">
        <v>32</v>
      </c>
      <c r="I7" s="146" t="s">
        <v>49</v>
      </c>
      <c r="J7" s="146" t="s">
        <v>35</v>
      </c>
      <c r="K7" s="146" t="s">
        <v>8</v>
      </c>
      <c r="L7" s="146" t="s">
        <v>33</v>
      </c>
      <c r="M7" s="146" t="s">
        <v>50</v>
      </c>
      <c r="N7" s="146" t="s">
        <v>151</v>
      </c>
      <c r="O7" s="146" t="s">
        <v>5</v>
      </c>
      <c r="P7" s="146" t="s">
        <v>37</v>
      </c>
      <c r="Q7" s="146" t="s">
        <v>36</v>
      </c>
      <c r="R7" s="146" t="s">
        <v>38</v>
      </c>
      <c r="S7" s="146" t="s">
        <v>39</v>
      </c>
      <c r="T7" s="146" t="s">
        <v>6</v>
      </c>
      <c r="U7" s="146" t="s">
        <v>1265</v>
      </c>
      <c r="V7" s="146" t="s">
        <v>0</v>
      </c>
      <c r="W7" s="146" t="s">
        <v>34</v>
      </c>
      <c r="X7" s="146" t="s">
        <v>8</v>
      </c>
      <c r="Y7" s="147" t="s">
        <v>188</v>
      </c>
      <c r="Z7" s="147" t="s">
        <v>151</v>
      </c>
      <c r="AA7" s="148" t="s">
        <v>9</v>
      </c>
      <c r="AB7" s="149" t="s">
        <v>8</v>
      </c>
      <c r="AC7" s="149" t="s">
        <v>50</v>
      </c>
      <c r="AD7" s="149" t="s">
        <v>151</v>
      </c>
      <c r="AE7" s="149" t="s">
        <v>8</v>
      </c>
      <c r="AF7" s="149" t="s">
        <v>151</v>
      </c>
      <c r="AG7" s="149" t="s">
        <v>7</v>
      </c>
      <c r="AH7" s="149" t="s">
        <v>10</v>
      </c>
      <c r="AI7" s="149" t="s">
        <v>7</v>
      </c>
      <c r="AJ7" s="149" t="s">
        <v>10</v>
      </c>
      <c r="AK7" s="149" t="s">
        <v>189</v>
      </c>
      <c r="AL7" s="146" t="s">
        <v>8</v>
      </c>
      <c r="AM7" s="146" t="s">
        <v>50</v>
      </c>
      <c r="AN7" s="146" t="s">
        <v>151</v>
      </c>
      <c r="AO7" s="146" t="s">
        <v>8</v>
      </c>
      <c r="AP7" s="146" t="s">
        <v>151</v>
      </c>
      <c r="AQ7" s="146" t="s">
        <v>7</v>
      </c>
      <c r="AR7" s="146" t="s">
        <v>10</v>
      </c>
      <c r="AS7" s="146" t="s">
        <v>7</v>
      </c>
      <c r="AT7" s="146" t="s">
        <v>10</v>
      </c>
      <c r="AU7" s="146" t="s">
        <v>189</v>
      </c>
      <c r="AV7" s="149" t="s">
        <v>8</v>
      </c>
      <c r="AW7" s="149" t="s">
        <v>50</v>
      </c>
      <c r="AX7" s="149" t="s">
        <v>151</v>
      </c>
      <c r="AY7" s="149" t="s">
        <v>8</v>
      </c>
      <c r="AZ7" s="149" t="s">
        <v>151</v>
      </c>
      <c r="BA7" s="149" t="s">
        <v>7</v>
      </c>
      <c r="BB7" s="149" t="s">
        <v>10</v>
      </c>
      <c r="BC7" s="149" t="s">
        <v>7</v>
      </c>
      <c r="BD7" s="149" t="s">
        <v>10</v>
      </c>
      <c r="BE7" s="149" t="s">
        <v>189</v>
      </c>
      <c r="BF7" s="146" t="s">
        <v>8</v>
      </c>
      <c r="BG7" s="146" t="s">
        <v>50</v>
      </c>
      <c r="BH7" s="146" t="s">
        <v>151</v>
      </c>
      <c r="BI7" s="146" t="s">
        <v>8</v>
      </c>
      <c r="BJ7" s="146" t="s">
        <v>151</v>
      </c>
      <c r="BK7" s="146" t="s">
        <v>7</v>
      </c>
      <c r="BL7" s="146" t="s">
        <v>10</v>
      </c>
      <c r="BM7" s="146" t="s">
        <v>7</v>
      </c>
      <c r="BN7" s="146" t="s">
        <v>10</v>
      </c>
      <c r="BO7" s="146" t="s">
        <v>189</v>
      </c>
      <c r="BP7" s="150" t="s">
        <v>7</v>
      </c>
      <c r="BQ7" s="150" t="s">
        <v>10</v>
      </c>
      <c r="BR7" s="150" t="s">
        <v>7</v>
      </c>
      <c r="BS7" s="150" t="s">
        <v>10</v>
      </c>
      <c r="BT7" s="150" t="s">
        <v>7</v>
      </c>
      <c r="BU7" s="150" t="s">
        <v>10</v>
      </c>
      <c r="BV7" s="150" t="s">
        <v>7</v>
      </c>
      <c r="BW7" s="150" t="s">
        <v>10</v>
      </c>
    </row>
    <row r="8" spans="1:75" s="81" customFormat="1" ht="51" x14ac:dyDescent="0.2">
      <c r="A8" s="73">
        <v>11900</v>
      </c>
      <c r="B8" s="98" t="s">
        <v>125</v>
      </c>
      <c r="C8" s="98" t="s">
        <v>330</v>
      </c>
      <c r="D8" s="73" t="s">
        <v>126</v>
      </c>
      <c r="E8" s="98" t="s">
        <v>60</v>
      </c>
      <c r="F8" s="98" t="s">
        <v>204</v>
      </c>
      <c r="G8" s="98" t="s">
        <v>204</v>
      </c>
      <c r="H8" s="73" t="s">
        <v>658</v>
      </c>
      <c r="I8" s="98" t="s">
        <v>904</v>
      </c>
      <c r="J8" s="60" t="s">
        <v>408</v>
      </c>
      <c r="K8" s="74">
        <v>1</v>
      </c>
      <c r="L8" s="73" t="s">
        <v>657</v>
      </c>
      <c r="M8" s="98" t="s">
        <v>375</v>
      </c>
      <c r="N8" s="132">
        <v>0</v>
      </c>
      <c r="O8" s="80">
        <v>1</v>
      </c>
      <c r="P8" s="98" t="s">
        <v>17</v>
      </c>
      <c r="Q8" s="98" t="s">
        <v>28</v>
      </c>
      <c r="R8" s="98" t="s">
        <v>204</v>
      </c>
      <c r="S8" s="98" t="s">
        <v>204</v>
      </c>
      <c r="T8" s="98" t="s">
        <v>1039</v>
      </c>
      <c r="U8" s="476" t="s">
        <v>204</v>
      </c>
      <c r="V8" s="98" t="s">
        <v>1768</v>
      </c>
      <c r="W8" s="98" t="s">
        <v>204</v>
      </c>
      <c r="X8" s="74">
        <v>1</v>
      </c>
      <c r="Y8" s="98" t="str">
        <f>+M8</f>
        <v xml:space="preserve">Cambio de jurisdicción de laboral a administrativa para resolver conflictos judiciales con la ADRES.
</v>
      </c>
      <c r="Z8" s="159">
        <f>+N8</f>
        <v>0</v>
      </c>
      <c r="AA8" s="78" t="s">
        <v>48</v>
      </c>
      <c r="AB8" s="74">
        <v>1</v>
      </c>
      <c r="AC8" s="98" t="str">
        <f>+Y8</f>
        <v xml:space="preserve">Cambio de jurisdicción de laboral a administrativa para resolver conflictos judiciales con la ADRES.
</v>
      </c>
      <c r="AD8" s="75">
        <v>0</v>
      </c>
      <c r="AE8" s="500">
        <v>1</v>
      </c>
      <c r="AF8" s="500"/>
      <c r="AG8" s="80">
        <f>+(AE8/AB8)</f>
        <v>1</v>
      </c>
      <c r="AH8" s="80" t="e">
        <f>+(AF8/AD8)</f>
        <v>#DIV/0!</v>
      </c>
      <c r="AI8" s="80">
        <f>+(AE8/X8)</f>
        <v>1</v>
      </c>
      <c r="AJ8" s="80" t="e">
        <f>+(AF8/Z8)</f>
        <v>#DIV/0!</v>
      </c>
      <c r="AK8" s="501" t="s">
        <v>1372</v>
      </c>
      <c r="AL8" s="74">
        <v>0</v>
      </c>
      <c r="AM8" s="98" t="str">
        <f>+Y8</f>
        <v xml:space="preserve">Cambio de jurisdicción de laboral a administrativa para resolver conflictos judiciales con la ADRES.
</v>
      </c>
      <c r="AN8" s="75">
        <v>0</v>
      </c>
      <c r="AO8" s="60">
        <v>0</v>
      </c>
      <c r="AP8" s="772">
        <v>0</v>
      </c>
      <c r="AQ8" s="80" t="e">
        <f>+(AO8/AL8)</f>
        <v>#DIV/0!</v>
      </c>
      <c r="AR8" s="80" t="e">
        <f>+(AP8/AN8)</f>
        <v>#DIV/0!</v>
      </c>
      <c r="AS8" s="80">
        <f>+(AO8+AE8)/X8</f>
        <v>1</v>
      </c>
      <c r="AT8" s="80" t="e">
        <f>+(AP8+AF8)/Z8</f>
        <v>#DIV/0!</v>
      </c>
      <c r="AU8" s="771" t="s">
        <v>1730</v>
      </c>
      <c r="AV8" s="74">
        <v>0</v>
      </c>
      <c r="AW8" s="98" t="str">
        <f>+Y8</f>
        <v xml:space="preserve">Cambio de jurisdicción de laboral a administrativa para resolver conflictos judiciales con la ADRES.
</v>
      </c>
      <c r="AX8" s="75">
        <v>0</v>
      </c>
      <c r="AY8" s="135"/>
      <c r="AZ8" s="135"/>
      <c r="BA8" s="80" t="e">
        <f>+(AY8/AV8)</f>
        <v>#DIV/0!</v>
      </c>
      <c r="BB8" s="80" t="e">
        <f>+(AZ8/AX8)</f>
        <v>#DIV/0!</v>
      </c>
      <c r="BC8" s="80">
        <f>+(AO8+AE8+AY8)/X8</f>
        <v>1</v>
      </c>
      <c r="BD8" s="80" t="e">
        <f>+(AP8+AF8+AZ8)/Z8</f>
        <v>#DIV/0!</v>
      </c>
      <c r="BE8" s="80"/>
      <c r="BF8" s="74">
        <v>0</v>
      </c>
      <c r="BG8" s="98" t="str">
        <f>+Y8</f>
        <v xml:space="preserve">Cambio de jurisdicción de laboral a administrativa para resolver conflictos judiciales con la ADRES.
</v>
      </c>
      <c r="BH8" s="75">
        <v>0</v>
      </c>
      <c r="BI8" s="135"/>
      <c r="BJ8" s="135"/>
      <c r="BK8" s="61" t="e">
        <f>+(BI8/BF8)</f>
        <v>#DIV/0!</v>
      </c>
      <c r="BL8" s="61" t="e">
        <f>+(BJ8/BH8)</f>
        <v>#DIV/0!</v>
      </c>
      <c r="BM8" s="61">
        <f>+(AO8+AE8+AY8+BI8)/X8</f>
        <v>1</v>
      </c>
      <c r="BN8" s="61" t="e">
        <f>+(AP8+AF8+AZ8+BJ8)/Z8</f>
        <v>#DIV/0!</v>
      </c>
      <c r="BO8" s="61"/>
      <c r="BP8" s="160">
        <f>IF(AND(AB8=0,AE8=0),"No Prog ni Ejec",IF(AB8=0,CONCATENATE("No Prog, Ejec=  ",AE8),AE8/AB8))</f>
        <v>1</v>
      </c>
      <c r="BQ8" s="160" t="str">
        <f>IF(AND(AD8=0,AF8=0),"No Prog ni Ejec",IF(AD8=0,CONCATENATE("No Prog, Ejec=  ",AF8),AF8/AD8))</f>
        <v>No Prog ni Ejec</v>
      </c>
      <c r="BR8" s="160" t="str">
        <f>IF(AND(AL8=0,AO8=0),"No Prog ni Ejec",IF(AL8=0,CONCATENATE("No Prog, Ejec=  ",AO8),AO8/AL8))</f>
        <v>No Prog ni Ejec</v>
      </c>
      <c r="BS8" s="160" t="str">
        <f>IF(AND(AN8=0,AP8=0),"No Prog ni Ejec",IF(AN8=0,CONCATENATE("No Prog, Ejec=  ",AP8),AP8/AN8))</f>
        <v>No Prog ni Ejec</v>
      </c>
      <c r="BT8" s="160" t="str">
        <f>IF(AND(AV8=0,AY8=0),"No Prog ni Ejec",IF(AV8=0,CONCATENATE("No Prog, Ejec=  ",AY8),AY8/AV8))</f>
        <v>No Prog ni Ejec</v>
      </c>
      <c r="BU8" s="160" t="str">
        <f>IF(AND(AX8=0,AZ8=0),"No Prog ni Ejec",IF(AX8=0,CONCATENATE("No Prog, Ejec=  ",AZ8),AZ8/AX8))</f>
        <v>No Prog ni Ejec</v>
      </c>
      <c r="BV8" s="160" t="str">
        <f>IF(AND(BF8=0,BI8=0),"No Prog ni Ejec",IF(BF8=0,CONCATENATE("No Prog, Ejec=  ",BI8),BI8/BF8))</f>
        <v>No Prog ni Ejec</v>
      </c>
      <c r="BW8" s="160" t="str">
        <f>IF(AND(BH8=0,BJ8=0),"No Prog ni Ejec",IF(BH8=0,CONCATENATE("No Prog, Ejec=  ",BJ8),BJ8/BH8))</f>
        <v>No Prog ni Ejec</v>
      </c>
    </row>
    <row r="9" spans="1:75" s="81" customFormat="1" ht="76.5" x14ac:dyDescent="0.2">
      <c r="A9" s="73">
        <v>11900</v>
      </c>
      <c r="B9" s="98" t="s">
        <v>125</v>
      </c>
      <c r="C9" s="98" t="s">
        <v>330</v>
      </c>
      <c r="D9" s="73" t="s">
        <v>126</v>
      </c>
      <c r="E9" s="98" t="s">
        <v>60</v>
      </c>
      <c r="F9" s="98" t="s">
        <v>204</v>
      </c>
      <c r="G9" s="98" t="s">
        <v>204</v>
      </c>
      <c r="H9" s="73" t="s">
        <v>1307</v>
      </c>
      <c r="I9" s="98" t="s">
        <v>904</v>
      </c>
      <c r="J9" s="60" t="s">
        <v>408</v>
      </c>
      <c r="K9" s="74">
        <v>1</v>
      </c>
      <c r="L9" s="73" t="s">
        <v>1308</v>
      </c>
      <c r="M9" s="98" t="s">
        <v>376</v>
      </c>
      <c r="N9" s="132">
        <v>0</v>
      </c>
      <c r="O9" s="80">
        <v>1</v>
      </c>
      <c r="P9" s="98" t="s">
        <v>17</v>
      </c>
      <c r="Q9" s="98" t="s">
        <v>26</v>
      </c>
      <c r="R9" s="98" t="s">
        <v>634</v>
      </c>
      <c r="S9" s="98" t="s">
        <v>637</v>
      </c>
      <c r="T9" s="98" t="s">
        <v>71</v>
      </c>
      <c r="U9" s="476" t="s">
        <v>204</v>
      </c>
      <c r="V9" s="98" t="s">
        <v>1768</v>
      </c>
      <c r="W9" s="98" t="s">
        <v>204</v>
      </c>
      <c r="X9" s="74">
        <v>1</v>
      </c>
      <c r="Y9" s="98" t="str">
        <f>+M9</f>
        <v xml:space="preserve">Ajustes normativos en cuanto a la no aplicación de intereses de mora en los pagos derivados de sentencias judiciales por recobros y reclamaciones .
</v>
      </c>
      <c r="Z9" s="159">
        <f>+N9</f>
        <v>0</v>
      </c>
      <c r="AA9" s="78" t="s">
        <v>48</v>
      </c>
      <c r="AB9" s="74">
        <v>1</v>
      </c>
      <c r="AC9" s="98" t="str">
        <f>+Y9</f>
        <v xml:space="preserve">Ajustes normativos en cuanto a la no aplicación de intereses de mora en los pagos derivados de sentencias judiciales por recobros y reclamaciones .
</v>
      </c>
      <c r="AD9" s="75">
        <v>0</v>
      </c>
      <c r="AE9" s="500">
        <v>1</v>
      </c>
      <c r="AF9" s="500"/>
      <c r="AG9" s="80">
        <f>+(AE9/AB9)</f>
        <v>1</v>
      </c>
      <c r="AH9" s="80" t="e">
        <f>+(AF9/AD9)</f>
        <v>#DIV/0!</v>
      </c>
      <c r="AI9" s="80">
        <f>+(AE9/X9)</f>
        <v>1</v>
      </c>
      <c r="AJ9" s="80" t="e">
        <f>+(AF9/Z9)</f>
        <v>#DIV/0!</v>
      </c>
      <c r="AK9" s="501" t="s">
        <v>1372</v>
      </c>
      <c r="AL9" s="74">
        <v>0</v>
      </c>
      <c r="AM9" s="98" t="str">
        <f>+Y9</f>
        <v xml:space="preserve">Ajustes normativos en cuanto a la no aplicación de intereses de mora en los pagos derivados de sentencias judiciales por recobros y reclamaciones .
</v>
      </c>
      <c r="AN9" s="75">
        <v>0</v>
      </c>
      <c r="AO9" s="60">
        <v>0</v>
      </c>
      <c r="AP9" s="772">
        <v>0</v>
      </c>
      <c r="AQ9" s="80" t="e">
        <f>+(AO9/AL9)</f>
        <v>#DIV/0!</v>
      </c>
      <c r="AR9" s="80" t="e">
        <f>+(AP9/AN9)</f>
        <v>#DIV/0!</v>
      </c>
      <c r="AS9" s="80">
        <f>+(AO9+AE9)/X9</f>
        <v>1</v>
      </c>
      <c r="AT9" s="80" t="e">
        <f>+(AP9+AF9)/Z9</f>
        <v>#DIV/0!</v>
      </c>
      <c r="AU9" s="771" t="s">
        <v>1730</v>
      </c>
      <c r="AV9" s="74">
        <v>0</v>
      </c>
      <c r="AW9" s="98" t="str">
        <f>+Y9</f>
        <v xml:space="preserve">Ajustes normativos en cuanto a la no aplicación de intereses de mora en los pagos derivados de sentencias judiciales por recobros y reclamaciones .
</v>
      </c>
      <c r="AX9" s="75">
        <v>0</v>
      </c>
      <c r="AY9" s="135"/>
      <c r="AZ9" s="135"/>
      <c r="BA9" s="80" t="e">
        <f>+(AY9/AV9)</f>
        <v>#DIV/0!</v>
      </c>
      <c r="BB9" s="80" t="e">
        <f>+(AZ9/AX9)</f>
        <v>#DIV/0!</v>
      </c>
      <c r="BC9" s="80">
        <f>+(AO9+AE9+AY9)/X9</f>
        <v>1</v>
      </c>
      <c r="BD9" s="80" t="e">
        <f>+(AP9+AF9+AZ9)/Z9</f>
        <v>#DIV/0!</v>
      </c>
      <c r="BE9" s="80"/>
      <c r="BF9" s="74">
        <v>0</v>
      </c>
      <c r="BG9" s="98" t="str">
        <f>+Y9</f>
        <v xml:space="preserve">Ajustes normativos en cuanto a la no aplicación de intereses de mora en los pagos derivados de sentencias judiciales por recobros y reclamaciones .
</v>
      </c>
      <c r="BH9" s="75">
        <v>0</v>
      </c>
      <c r="BI9" s="135"/>
      <c r="BJ9" s="135"/>
      <c r="BK9" s="61" t="e">
        <f>+(BI9/BF9)</f>
        <v>#DIV/0!</v>
      </c>
      <c r="BL9" s="61" t="e">
        <f>+(BJ9/BH9)</f>
        <v>#DIV/0!</v>
      </c>
      <c r="BM9" s="61">
        <f>+(AO9+AE9+AY9+BI9)/X9</f>
        <v>1</v>
      </c>
      <c r="BN9" s="61" t="e">
        <f>+(AP9+AF9+AZ9+BJ9)/Z9</f>
        <v>#DIV/0!</v>
      </c>
      <c r="BO9" s="61"/>
      <c r="BP9" s="160">
        <f>IF(AND(AB9=0,AE9=0),"No Prog ni Ejec",IF(AB9=0,CONCATENATE("No Prog, Ejec=  ",AE9),AE9/AB9))</f>
        <v>1</v>
      </c>
      <c r="BQ9" s="160" t="str">
        <f>IF(AND(AD9=0,AF9=0),"No Prog ni Ejec",IF(AD9=0,CONCATENATE("No Prog, Ejec=  ",AF9),AF9/AD9))</f>
        <v>No Prog ni Ejec</v>
      </c>
      <c r="BR9" s="160" t="str">
        <f>IF(AND(AL9=0,AO9=0),"No Prog ni Ejec",IF(AL9=0,CONCATENATE("No Prog, Ejec=  ",AO9),AO9/AL9))</f>
        <v>No Prog ni Ejec</v>
      </c>
      <c r="BS9" s="160" t="str">
        <f>IF(AND(AN9=0,AP9=0),"No Prog ni Ejec",IF(AN9=0,CONCATENATE("No Prog, Ejec=  ",AP9),AP9/AN9))</f>
        <v>No Prog ni Ejec</v>
      </c>
      <c r="BT9" s="160" t="str">
        <f>IF(AND(AV9=0,AY9=0),"No Prog ni Ejec",IF(AV9=0,CONCATENATE("No Prog, Ejec=  ",AY9),AY9/AV9))</f>
        <v>No Prog ni Ejec</v>
      </c>
      <c r="BU9" s="160" t="str">
        <f>IF(AND(AX9=0,AZ9=0),"No Prog ni Ejec",IF(AX9=0,CONCATENATE("No Prog, Ejec=  ",AZ9),AZ9/AX9))</f>
        <v>No Prog ni Ejec</v>
      </c>
      <c r="BV9" s="160" t="str">
        <f>IF(AND(BF9=0,BI9=0),"No Prog ni Ejec",IF(BF9=0,CONCATENATE("No Prog, Ejec=  ",BI9),BI9/BF9))</f>
        <v>No Prog ni Ejec</v>
      </c>
      <c r="BW9" s="160"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1276</v>
      </c>
      <c r="B11" s="6"/>
      <c r="C11" s="6"/>
      <c r="D11" s="6"/>
      <c r="E11" s="6"/>
      <c r="F11" s="6"/>
      <c r="G11" s="6"/>
      <c r="I11" s="6"/>
      <c r="J11" s="10"/>
      <c r="L11" s="88"/>
      <c r="N11" s="91"/>
      <c r="BP11" s="1151" t="s">
        <v>179</v>
      </c>
      <c r="BQ11" s="1152"/>
      <c r="BR11" s="1152"/>
      <c r="BS11" s="1152"/>
      <c r="BT11" s="1152"/>
      <c r="BU11" s="1153"/>
    </row>
    <row r="12" spans="1:75" x14ac:dyDescent="0.25">
      <c r="B12" s="6"/>
      <c r="C12" s="6"/>
      <c r="D12" s="6"/>
      <c r="E12" s="6"/>
      <c r="F12" s="6"/>
      <c r="G12" s="6"/>
      <c r="I12" s="6"/>
      <c r="J12" s="10"/>
      <c r="N12" s="5"/>
      <c r="BP12" s="1144" t="s">
        <v>180</v>
      </c>
      <c r="BQ12" s="1145"/>
      <c r="BR12" s="1146" t="s">
        <v>181</v>
      </c>
      <c r="BS12" s="1147"/>
      <c r="BT12" s="1147"/>
      <c r="BU12" s="1148"/>
    </row>
    <row r="13" spans="1:75" x14ac:dyDescent="0.25">
      <c r="A13" s="6"/>
      <c r="B13" s="6"/>
      <c r="C13" s="6"/>
      <c r="D13" s="6"/>
      <c r="E13" s="6"/>
      <c r="F13" s="6"/>
      <c r="G13" s="6"/>
      <c r="H13" s="6"/>
      <c r="I13" s="6"/>
      <c r="J13" s="10"/>
      <c r="BP13" s="1149" t="s">
        <v>196</v>
      </c>
      <c r="BQ13" s="1150"/>
      <c r="BR13" s="1146" t="s">
        <v>198</v>
      </c>
      <c r="BS13" s="1147"/>
      <c r="BT13" s="1147"/>
      <c r="BU13" s="1148"/>
    </row>
    <row r="14" spans="1:75" x14ac:dyDescent="0.25">
      <c r="A14" s="6"/>
      <c r="B14" s="6"/>
      <c r="C14" s="6"/>
      <c r="D14" s="6"/>
      <c r="E14" s="6"/>
      <c r="F14" s="6"/>
      <c r="G14" s="6"/>
      <c r="H14" s="6"/>
      <c r="I14" s="6"/>
      <c r="J14" s="10"/>
      <c r="BP14" s="1156" t="s">
        <v>197</v>
      </c>
      <c r="BQ14" s="1157"/>
      <c r="BR14" s="1146" t="s">
        <v>182</v>
      </c>
      <c r="BS14" s="1147"/>
      <c r="BT14" s="1147"/>
      <c r="BU14" s="1148"/>
    </row>
    <row r="15" spans="1:75" x14ac:dyDescent="0.25">
      <c r="A15" s="6"/>
      <c r="B15" s="6"/>
      <c r="C15" s="6"/>
      <c r="D15" s="6"/>
      <c r="E15" s="6"/>
      <c r="F15" s="6"/>
      <c r="G15" s="6"/>
      <c r="H15" s="6"/>
      <c r="I15" s="6"/>
      <c r="J15" s="10"/>
      <c r="N15" s="5"/>
      <c r="BP15" s="1158" t="s">
        <v>194</v>
      </c>
      <c r="BQ15" s="1159"/>
      <c r="BR15" s="1146" t="s">
        <v>183</v>
      </c>
      <c r="BS15" s="1147"/>
      <c r="BT15" s="1147"/>
      <c r="BU15" s="1148"/>
    </row>
    <row r="16" spans="1:75" x14ac:dyDescent="0.25">
      <c r="A16" s="6"/>
      <c r="B16" s="6"/>
      <c r="C16" s="6"/>
      <c r="D16" s="6"/>
      <c r="E16" s="6"/>
      <c r="F16" s="6"/>
      <c r="G16" s="6"/>
      <c r="H16" s="6"/>
      <c r="I16" s="6"/>
      <c r="J16" s="10"/>
      <c r="BP16" s="1160" t="s">
        <v>241</v>
      </c>
      <c r="BQ16" s="1161"/>
      <c r="BR16" s="1146" t="s">
        <v>184</v>
      </c>
      <c r="BS16" s="1147"/>
      <c r="BT16" s="1147"/>
      <c r="BU16" s="1148"/>
    </row>
    <row r="17" spans="1:228" x14ac:dyDescent="0.25">
      <c r="A17" s="6"/>
      <c r="B17" s="6"/>
      <c r="C17" s="6"/>
      <c r="D17" s="6"/>
      <c r="E17" s="6"/>
      <c r="F17" s="6"/>
      <c r="G17" s="6"/>
      <c r="H17" s="6"/>
      <c r="I17" s="6"/>
      <c r="J17" s="10"/>
      <c r="BP17" s="1154" t="s">
        <v>185</v>
      </c>
      <c r="BQ17" s="1154"/>
      <c r="BR17" s="1155" t="s">
        <v>186</v>
      </c>
      <c r="BS17" s="1155"/>
      <c r="BT17" s="1155"/>
      <c r="BU17" s="1155"/>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sheetProtection algorithmName="SHA-512" hashValue="ytRnsgq8WFW5Z/vlKla06ARr1ijRzadL8gmpWZ8qrwGtriuIM1DWWT14jp1zqyzCfYUqvA6ht/Z2VvvEImOkAA==" saltValue="0mty4hUIBGn1EnK35QzUig==" spinCount="100000" sheet="1" objects="1" scenarios="1"/>
  <autoFilter ref="A7:HT9" xr:uid="{00000000-0009-0000-0000-000005000000}"/>
  <mergeCells count="29">
    <mergeCell ref="BP17:BQ17"/>
    <mergeCell ref="BR17:BU17"/>
    <mergeCell ref="BP14:BQ14"/>
    <mergeCell ref="BR14:BU14"/>
    <mergeCell ref="BP15:BQ15"/>
    <mergeCell ref="BR15:BU15"/>
    <mergeCell ref="BP16:BQ16"/>
    <mergeCell ref="BR16:BU16"/>
    <mergeCell ref="BP12:BQ12"/>
    <mergeCell ref="BR12:BU12"/>
    <mergeCell ref="BP13:BQ13"/>
    <mergeCell ref="BR13:BU13"/>
    <mergeCell ref="BF6:BO6"/>
    <mergeCell ref="BP11:BU11"/>
    <mergeCell ref="BP6:BW6"/>
    <mergeCell ref="BT1:BW3"/>
    <mergeCell ref="C2:H2"/>
    <mergeCell ref="I2:I3"/>
    <mergeCell ref="J2:BQ3"/>
    <mergeCell ref="BR2:BR3"/>
    <mergeCell ref="BS2:BS3"/>
    <mergeCell ref="C3:H3"/>
    <mergeCell ref="E5:P5"/>
    <mergeCell ref="AB6:AK6"/>
    <mergeCell ref="AL6:AU6"/>
    <mergeCell ref="A1:B3"/>
    <mergeCell ref="C1:H1"/>
    <mergeCell ref="I1:BS1"/>
    <mergeCell ref="AV6:BE6"/>
  </mergeCells>
  <conditionalFormatting sqref="BP8:BW9">
    <cfRule type="cellIs" dxfId="12639" priority="37" operator="equal">
      <formula>#REF!</formula>
    </cfRule>
    <cfRule type="cellIs" dxfId="12638" priority="38" operator="greaterThan">
      <formula>1</formula>
    </cfRule>
    <cfRule type="cellIs" dxfId="12637" priority="39" operator="equal">
      <formula>100%</formula>
    </cfRule>
    <cfRule type="cellIs" dxfId="12636" priority="40" operator="between">
      <formula>80%</formula>
      <formula>99%</formula>
    </cfRule>
    <cfRule type="cellIs" dxfId="12635"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1162" t="s">
        <v>469</v>
      </c>
      <c r="B1" s="1162"/>
      <c r="D1" s="1162" t="s">
        <v>478</v>
      </c>
      <c r="E1" s="1162"/>
    </row>
    <row r="3" spans="1:7" x14ac:dyDescent="0.25">
      <c r="A3" s="178" t="s">
        <v>470</v>
      </c>
      <c r="B3" s="178" t="s">
        <v>471</v>
      </c>
      <c r="D3" s="178" t="s">
        <v>470</v>
      </c>
      <c r="E3" s="178" t="s">
        <v>471</v>
      </c>
    </row>
    <row r="4" spans="1:7" x14ac:dyDescent="0.25">
      <c r="A4" t="s">
        <v>472</v>
      </c>
      <c r="B4" s="181">
        <f>15179735019.05+3086194000+2846265640</f>
        <v>21112194659.049999</v>
      </c>
      <c r="D4" t="s">
        <v>479</v>
      </c>
      <c r="E4" s="90">
        <f>+'[9]Plan de Accion Proyectos estrat'!P37</f>
        <v>42159994067.800003</v>
      </c>
    </row>
    <row r="5" spans="1:7" x14ac:dyDescent="0.25">
      <c r="A5" t="s">
        <v>473</v>
      </c>
      <c r="B5" s="181">
        <v>284095877.32999998</v>
      </c>
      <c r="D5" t="s">
        <v>480</v>
      </c>
      <c r="E5" s="90">
        <f>+'[9]Plan de Accion Misional'!N21</f>
        <v>909976656</v>
      </c>
    </row>
    <row r="6" spans="1:7" x14ac:dyDescent="0.25">
      <c r="A6" t="s">
        <v>1006</v>
      </c>
      <c r="B6" s="181">
        <f>297518840.75-107418462</f>
        <v>190100378.75</v>
      </c>
      <c r="D6" t="s">
        <v>481</v>
      </c>
      <c r="E6" s="90">
        <f>+'[9]Plan de Accion apoyo transversa'!AC179</f>
        <v>6693994995.0797157</v>
      </c>
    </row>
    <row r="7" spans="1:7" x14ac:dyDescent="0.25">
      <c r="A7" t="s">
        <v>474</v>
      </c>
      <c r="B7" s="181">
        <v>41000000</v>
      </c>
      <c r="D7" t="s">
        <v>1017</v>
      </c>
      <c r="E7" s="90">
        <f>+'[9]Plan de Accion ajustes normativ'!N11</f>
        <v>0</v>
      </c>
    </row>
    <row r="8" spans="1:7" x14ac:dyDescent="0.25">
      <c r="A8" t="s">
        <v>1007</v>
      </c>
      <c r="B8" s="181">
        <v>874173000</v>
      </c>
      <c r="D8" s="88" t="s">
        <v>476</v>
      </c>
      <c r="E8" s="93">
        <f>SUM(E4:E7)</f>
        <v>49763965718.879715</v>
      </c>
    </row>
    <row r="9" spans="1:7" x14ac:dyDescent="0.25">
      <c r="A9" t="s">
        <v>1009</v>
      </c>
      <c r="B9" s="181">
        <v>0</v>
      </c>
    </row>
    <row r="10" spans="1:7" x14ac:dyDescent="0.25">
      <c r="A10" t="s">
        <v>1008</v>
      </c>
      <c r="B10" s="181">
        <v>329198836</v>
      </c>
      <c r="D10" s="88" t="s">
        <v>483</v>
      </c>
      <c r="E10" s="95">
        <f>+E8+B24</f>
        <v>149720984721.26971</v>
      </c>
    </row>
    <row r="11" spans="1:7" x14ac:dyDescent="0.25">
      <c r="A11" t="s">
        <v>1010</v>
      </c>
      <c r="B11" s="181">
        <v>598373865</v>
      </c>
      <c r="D11" s="88" t="s">
        <v>482</v>
      </c>
      <c r="E11" s="95">
        <v>145380000000</v>
      </c>
    </row>
    <row r="12" spans="1:7" x14ac:dyDescent="0.25">
      <c r="A12" t="s">
        <v>1011</v>
      </c>
      <c r="B12" s="181">
        <v>9148844253</v>
      </c>
      <c r="D12" s="88" t="s">
        <v>484</v>
      </c>
      <c r="E12" s="96">
        <f>+E11-E10</f>
        <v>-4340984721.2697144</v>
      </c>
      <c r="F12" s="96">
        <v>-4766030188.4799995</v>
      </c>
      <c r="G12" s="96">
        <f>+E12-F12</f>
        <v>425045467.21028519</v>
      </c>
    </row>
    <row r="13" spans="1:7" x14ac:dyDescent="0.25">
      <c r="A13" t="s">
        <v>1012</v>
      </c>
      <c r="B13" s="181">
        <v>6213998083</v>
      </c>
    </row>
    <row r="14" spans="1:7" x14ac:dyDescent="0.25">
      <c r="A14" t="s">
        <v>1013</v>
      </c>
      <c r="B14" s="123">
        <v>0</v>
      </c>
    </row>
    <row r="15" spans="1:7" x14ac:dyDescent="0.25">
      <c r="A15" t="s">
        <v>1014</v>
      </c>
      <c r="B15" s="123">
        <f>2053023852+2668208441+77167329+139134671+57500000+107418462+248695717+115012186.95</f>
        <v>5466160658.9499998</v>
      </c>
    </row>
    <row r="16" spans="1:7" x14ac:dyDescent="0.25">
      <c r="A16" t="s">
        <v>1015</v>
      </c>
      <c r="B16" s="123">
        <f>338707320+295906600+162000000</f>
        <v>796613920</v>
      </c>
      <c r="D16" s="62"/>
    </row>
    <row r="17" spans="1:5" x14ac:dyDescent="0.25">
      <c r="A17" t="s">
        <v>1016</v>
      </c>
      <c r="B17" s="89">
        <v>0</v>
      </c>
    </row>
    <row r="18" spans="1:5" ht="6" customHeight="1" x14ac:dyDescent="0.25">
      <c r="B18" s="89"/>
    </row>
    <row r="19" spans="1:5" x14ac:dyDescent="0.25">
      <c r="A19" s="88" t="s">
        <v>475</v>
      </c>
      <c r="B19" s="91">
        <f>SUM(B4:B17)</f>
        <v>45054753531.080002</v>
      </c>
    </row>
    <row r="20" spans="1:5" ht="6" customHeight="1" x14ac:dyDescent="0.25"/>
    <row r="21" spans="1:5" ht="18" customHeight="1" x14ac:dyDescent="0.25">
      <c r="A21" t="s">
        <v>1018</v>
      </c>
      <c r="B21" s="103">
        <v>21836252000</v>
      </c>
    </row>
    <row r="22" spans="1:5" ht="18" customHeight="1" x14ac:dyDescent="0.25">
      <c r="A22" t="s">
        <v>477</v>
      </c>
      <c r="B22" s="103">
        <v>33066013471.310001</v>
      </c>
    </row>
    <row r="23" spans="1:5" ht="6" customHeight="1" x14ac:dyDescent="0.25"/>
    <row r="24" spans="1:5" x14ac:dyDescent="0.25">
      <c r="A24" s="88" t="s">
        <v>476</v>
      </c>
      <c r="B24" s="92">
        <f>+B19+B21+B22</f>
        <v>99957019002.389999</v>
      </c>
      <c r="E24" s="94"/>
    </row>
    <row r="26" spans="1:5" x14ac:dyDescent="0.25">
      <c r="A26" s="88" t="s">
        <v>1320</v>
      </c>
      <c r="B26" s="96">
        <f>+B8+B10+B13+B11+B12+E12</f>
        <v>12823603315.730286</v>
      </c>
    </row>
    <row r="27" spans="1:5" x14ac:dyDescent="0.25">
      <c r="B27" s="94"/>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M18" sqref="M18"/>
    </sheetView>
  </sheetViews>
  <sheetFormatPr baseColWidth="10" defaultRowHeight="15" x14ac:dyDescent="0.25"/>
  <sheetData>
    <row r="1" spans="1:12" ht="15.75" thickBot="1" x14ac:dyDescent="0.3">
      <c r="A1" s="9"/>
      <c r="B1" s="9"/>
      <c r="C1" s="9"/>
      <c r="D1" s="9"/>
      <c r="E1" s="9"/>
      <c r="F1" s="9"/>
      <c r="G1" s="9"/>
      <c r="H1" s="9"/>
      <c r="I1" s="9"/>
    </row>
    <row r="2" spans="1:12" x14ac:dyDescent="0.25">
      <c r="A2" s="1163"/>
      <c r="B2" s="1164"/>
      <c r="C2" s="1169" t="s">
        <v>246</v>
      </c>
      <c r="D2" s="1170"/>
      <c r="E2" s="1187" t="s">
        <v>247</v>
      </c>
      <c r="F2" s="1188"/>
      <c r="G2" s="1188"/>
      <c r="H2" s="1189"/>
      <c r="I2" s="1175"/>
      <c r="J2" s="1176"/>
      <c r="K2" s="1176"/>
      <c r="L2" s="1177"/>
    </row>
    <row r="3" spans="1:12" x14ac:dyDescent="0.25">
      <c r="A3" s="1165"/>
      <c r="B3" s="1166"/>
      <c r="C3" s="1171" t="s">
        <v>248</v>
      </c>
      <c r="D3" s="1172"/>
      <c r="E3" s="1184" t="s">
        <v>209</v>
      </c>
      <c r="F3" s="1185"/>
      <c r="G3" s="1185"/>
      <c r="H3" s="1186"/>
      <c r="I3" s="1178"/>
      <c r="J3" s="1179"/>
      <c r="K3" s="1179"/>
      <c r="L3" s="1180"/>
    </row>
    <row r="4" spans="1:12" ht="15.75" thickBot="1" x14ac:dyDescent="0.3">
      <c r="A4" s="1167"/>
      <c r="B4" s="1168"/>
      <c r="C4" s="1173" t="s">
        <v>242</v>
      </c>
      <c r="D4" s="1174"/>
      <c r="E4" s="1190" t="s">
        <v>251</v>
      </c>
      <c r="F4" s="1191"/>
      <c r="G4" s="21" t="s">
        <v>249</v>
      </c>
      <c r="H4" s="20">
        <v>1</v>
      </c>
      <c r="I4" s="1181"/>
      <c r="J4" s="1182"/>
      <c r="K4" s="1182"/>
      <c r="L4" s="1183"/>
    </row>
    <row r="7" spans="1:12" x14ac:dyDescent="0.25">
      <c r="C7" s="22"/>
      <c r="D7" s="22"/>
      <c r="E7" s="22"/>
      <c r="F7" s="22"/>
      <c r="G7" s="22"/>
      <c r="H7" s="22"/>
      <c r="I7" s="22"/>
    </row>
    <row r="8" spans="1:12" x14ac:dyDescent="0.25">
      <c r="C8" s="26" t="s">
        <v>243</v>
      </c>
      <c r="D8" s="22"/>
      <c r="E8" s="22"/>
      <c r="F8" s="22"/>
      <c r="G8" s="22"/>
      <c r="H8" s="22"/>
      <c r="I8" s="568" t="s">
        <v>245</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1422</v>
      </c>
      <c r="D13" s="22"/>
      <c r="E13" s="22"/>
      <c r="F13" s="22"/>
      <c r="G13" s="22"/>
      <c r="H13" s="22"/>
      <c r="I13" s="568" t="s">
        <v>245</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568"/>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1423</v>
      </c>
      <c r="D19" s="22"/>
      <c r="E19" s="22"/>
      <c r="F19" s="22"/>
      <c r="G19" s="22"/>
      <c r="H19" s="568" t="s">
        <v>245</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244</v>
      </c>
      <c r="D26" s="22"/>
      <c r="E26" s="22"/>
      <c r="F26" s="22"/>
      <c r="G26" s="22"/>
      <c r="H26" s="568" t="s">
        <v>245</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R375"/>
  <sheetViews>
    <sheetView showGridLines="0" zoomScale="50" zoomScaleNormal="50" workbookViewId="0">
      <selection activeCell="F9" sqref="F9"/>
    </sheetView>
  </sheetViews>
  <sheetFormatPr baseColWidth="10" defaultColWidth="11" defaultRowHeight="14.25" x14ac:dyDescent="0.2"/>
  <cols>
    <col min="1" max="1" width="1.5703125" style="186" customWidth="1"/>
    <col min="2" max="2" width="22.28515625" style="186" customWidth="1"/>
    <col min="3" max="3" width="42.5703125" style="186" customWidth="1"/>
    <col min="4" max="4" width="38.7109375" style="186" customWidth="1"/>
    <col min="5" max="7" width="32.140625" style="186" customWidth="1"/>
    <col min="8" max="8" width="33.85546875" style="186" customWidth="1"/>
    <col min="9" max="9" width="5.7109375" style="190" customWidth="1"/>
    <col min="10" max="10" width="15.85546875" style="190" customWidth="1"/>
    <col min="11" max="11" width="23.5703125" style="186" customWidth="1"/>
    <col min="12" max="12" width="15.7109375" style="186" customWidth="1"/>
    <col min="13" max="13" width="16.42578125" style="186" customWidth="1"/>
    <col min="14" max="15" width="15.7109375" style="186" customWidth="1"/>
    <col min="16" max="16" width="2.5703125" style="188" customWidth="1"/>
    <col min="17" max="17" width="15.5703125" style="186" customWidth="1"/>
    <col min="18" max="19" width="17.140625" style="186" customWidth="1"/>
    <col min="20" max="22" width="21" style="186" customWidth="1"/>
    <col min="23" max="23" width="2.5703125" style="188" customWidth="1"/>
    <col min="24" max="24" width="17.140625" style="186" hidden="1" customWidth="1"/>
    <col min="25" max="25" width="14.85546875" style="186" hidden="1" customWidth="1"/>
    <col min="26" max="26" width="20.42578125" style="186" hidden="1" customWidth="1"/>
    <col min="27" max="28" width="15.85546875" style="186" hidden="1" customWidth="1"/>
    <col min="29" max="29" width="17.5703125" style="186" hidden="1" customWidth="1"/>
    <col min="30" max="30" width="2.5703125" style="188" hidden="1" customWidth="1"/>
    <col min="31" max="31" width="12.5703125" style="186" hidden="1" customWidth="1"/>
    <col min="32" max="33" width="16.28515625" style="186" hidden="1" customWidth="1"/>
    <col min="34" max="35" width="18.140625" style="186" hidden="1" customWidth="1"/>
    <col min="36" max="36" width="19.85546875" style="186" hidden="1" customWidth="1"/>
    <col min="37" max="37" width="5.7109375" style="187" hidden="1" customWidth="1"/>
    <col min="38" max="39" width="11" style="186" hidden="1" customWidth="1"/>
    <col min="40" max="40" width="2.7109375" style="186" hidden="1" customWidth="1"/>
    <col min="41" max="42" width="11" style="186" hidden="1" customWidth="1"/>
    <col min="43" max="43" width="2.7109375" style="186" hidden="1" customWidth="1"/>
    <col min="44" max="45" width="11" style="186" hidden="1" customWidth="1"/>
    <col min="46" max="46" width="2.7109375" style="186" hidden="1" customWidth="1"/>
    <col min="47" max="48" width="11" style="186" hidden="1" customWidth="1"/>
    <col min="49" max="49" width="2.7109375" style="186" hidden="1" customWidth="1"/>
    <col min="50" max="50" width="11" style="186" hidden="1" customWidth="1"/>
    <col min="51" max="51" width="5.7109375" style="186" hidden="1" customWidth="1"/>
    <col min="52" max="53" width="11" style="186" hidden="1" customWidth="1"/>
    <col min="54" max="54" width="2.7109375" style="186" hidden="1" customWidth="1"/>
    <col min="55" max="56" width="11" style="186" hidden="1" customWidth="1"/>
    <col min="57" max="57" width="2.7109375" style="186" hidden="1" customWidth="1"/>
    <col min="58" max="59" width="11" style="186" hidden="1" customWidth="1"/>
    <col min="60" max="60" width="2.7109375" style="186" hidden="1" customWidth="1"/>
    <col min="61" max="62" width="11" style="186" hidden="1" customWidth="1"/>
    <col min="63" max="63" width="2.7109375" style="186" hidden="1" customWidth="1"/>
    <col min="64" max="64" width="11" style="186" hidden="1" customWidth="1"/>
    <col min="65" max="65" width="5.7109375" style="186" hidden="1" customWidth="1"/>
    <col min="66" max="67" width="11" style="186" hidden="1" customWidth="1"/>
    <col min="68" max="68" width="2.7109375" style="186" hidden="1" customWidth="1"/>
    <col min="69" max="70" width="11" style="186" hidden="1" customWidth="1"/>
    <col min="71" max="71" width="2.7109375" style="186" hidden="1" customWidth="1"/>
    <col min="72" max="73" width="11" style="186" hidden="1" customWidth="1"/>
    <col min="74" max="74" width="2.7109375" style="186" hidden="1" customWidth="1"/>
    <col min="75" max="76" width="11" style="186" hidden="1" customWidth="1"/>
    <col min="77" max="77" width="2.7109375" style="186" hidden="1" customWidth="1"/>
    <col min="78" max="78" width="11" style="186" hidden="1" customWidth="1"/>
    <col min="79" max="79" width="5.7109375" style="186" hidden="1" customWidth="1"/>
    <col min="80" max="81" width="11" style="186" hidden="1" customWidth="1"/>
    <col min="82" max="82" width="2.7109375" style="186" hidden="1" customWidth="1"/>
    <col min="83" max="84" width="11" style="186" hidden="1" customWidth="1"/>
    <col min="85" max="85" width="2.7109375" style="186" hidden="1" customWidth="1"/>
    <col min="86" max="87" width="11" style="186" hidden="1" customWidth="1"/>
    <col min="88" max="88" width="2.7109375" style="186" hidden="1" customWidth="1"/>
    <col min="89" max="90" width="11" style="186" hidden="1" customWidth="1"/>
    <col min="91" max="91" width="2.7109375" style="186" hidden="1" customWidth="1"/>
    <col min="92" max="92" width="11" style="186" hidden="1" customWidth="1"/>
    <col min="93" max="268" width="11" style="186"/>
    <col min="269" max="269" width="1.5703125" style="186" customWidth="1"/>
    <col min="270" max="270" width="8.5703125" style="186" customWidth="1"/>
    <col min="271" max="271" width="28.7109375" style="186" customWidth="1"/>
    <col min="272" max="272" width="26.5703125" style="186" customWidth="1"/>
    <col min="273" max="273" width="7.7109375" style="186" customWidth="1"/>
    <col min="274" max="274" width="19.42578125" style="186" customWidth="1"/>
    <col min="275" max="275" width="44.28515625" style="186" customWidth="1"/>
    <col min="276" max="276" width="17" style="186" customWidth="1"/>
    <col min="277" max="277" width="15.5703125" style="186" customWidth="1"/>
    <col min="278" max="278" width="14.140625" style="186" customWidth="1"/>
    <col min="279" max="279" width="1.7109375" style="186" customWidth="1"/>
    <col min="280" max="280" width="13.7109375" style="186" customWidth="1"/>
    <col min="281" max="281" width="13.85546875" style="186" bestFit="1" customWidth="1"/>
    <col min="282" max="282" width="2.5703125" style="186" customWidth="1"/>
    <col min="283" max="283" width="12.42578125" style="186" customWidth="1"/>
    <col min="284" max="284" width="13.5703125" style="186" customWidth="1"/>
    <col min="285" max="285" width="2.5703125" style="186" customWidth="1"/>
    <col min="286" max="286" width="12.42578125" style="186" customWidth="1"/>
    <col min="287" max="287" width="13.5703125" style="186" customWidth="1"/>
    <col min="288" max="288" width="2.5703125" style="186" customWidth="1"/>
    <col min="289" max="289" width="11.5703125" style="186" customWidth="1"/>
    <col min="290" max="290" width="13" style="186" customWidth="1"/>
    <col min="291" max="291" width="1.42578125" style="186" customWidth="1"/>
    <col min="292" max="292" width="10.5703125" style="186" customWidth="1"/>
    <col min="293" max="524" width="11" style="186"/>
    <col min="525" max="525" width="1.5703125" style="186" customWidth="1"/>
    <col min="526" max="526" width="8.5703125" style="186" customWidth="1"/>
    <col min="527" max="527" width="28.7109375" style="186" customWidth="1"/>
    <col min="528" max="528" width="26.5703125" style="186" customWidth="1"/>
    <col min="529" max="529" width="7.7109375" style="186" customWidth="1"/>
    <col min="530" max="530" width="19.42578125" style="186" customWidth="1"/>
    <col min="531" max="531" width="44.28515625" style="186" customWidth="1"/>
    <col min="532" max="532" width="17" style="186" customWidth="1"/>
    <col min="533" max="533" width="15.5703125" style="186" customWidth="1"/>
    <col min="534" max="534" width="14.140625" style="186" customWidth="1"/>
    <col min="535" max="535" width="1.7109375" style="186" customWidth="1"/>
    <col min="536" max="536" width="13.7109375" style="186" customWidth="1"/>
    <col min="537" max="537" width="13.85546875" style="186" bestFit="1" customWidth="1"/>
    <col min="538" max="538" width="2.5703125" style="186" customWidth="1"/>
    <col min="539" max="539" width="12.42578125" style="186" customWidth="1"/>
    <col min="540" max="540" width="13.5703125" style="186" customWidth="1"/>
    <col min="541" max="541" width="2.5703125" style="186" customWidth="1"/>
    <col min="542" max="542" width="12.42578125" style="186" customWidth="1"/>
    <col min="543" max="543" width="13.5703125" style="186" customWidth="1"/>
    <col min="544" max="544" width="2.5703125" style="186" customWidth="1"/>
    <col min="545" max="545" width="11.5703125" style="186" customWidth="1"/>
    <col min="546" max="546" width="13" style="186" customWidth="1"/>
    <col min="547" max="547" width="1.42578125" style="186" customWidth="1"/>
    <col min="548" max="548" width="10.5703125" style="186" customWidth="1"/>
    <col min="549" max="780" width="11" style="186"/>
    <col min="781" max="781" width="1.5703125" style="186" customWidth="1"/>
    <col min="782" max="782" width="8.5703125" style="186" customWidth="1"/>
    <col min="783" max="783" width="28.7109375" style="186" customWidth="1"/>
    <col min="784" max="784" width="26.5703125" style="186" customWidth="1"/>
    <col min="785" max="785" width="7.7109375" style="186" customWidth="1"/>
    <col min="786" max="786" width="19.42578125" style="186" customWidth="1"/>
    <col min="787" max="787" width="44.28515625" style="186" customWidth="1"/>
    <col min="788" max="788" width="17" style="186" customWidth="1"/>
    <col min="789" max="789" width="15.5703125" style="186" customWidth="1"/>
    <col min="790" max="790" width="14.140625" style="186" customWidth="1"/>
    <col min="791" max="791" width="1.7109375" style="186" customWidth="1"/>
    <col min="792" max="792" width="13.7109375" style="186" customWidth="1"/>
    <col min="793" max="793" width="13.85546875" style="186" bestFit="1" customWidth="1"/>
    <col min="794" max="794" width="2.5703125" style="186" customWidth="1"/>
    <col min="795" max="795" width="12.42578125" style="186" customWidth="1"/>
    <col min="796" max="796" width="13.5703125" style="186" customWidth="1"/>
    <col min="797" max="797" width="2.5703125" style="186" customWidth="1"/>
    <col min="798" max="798" width="12.42578125" style="186" customWidth="1"/>
    <col min="799" max="799" width="13.5703125" style="186" customWidth="1"/>
    <col min="800" max="800" width="2.5703125" style="186" customWidth="1"/>
    <col min="801" max="801" width="11.5703125" style="186" customWidth="1"/>
    <col min="802" max="802" width="13" style="186" customWidth="1"/>
    <col min="803" max="803" width="1.42578125" style="186" customWidth="1"/>
    <col min="804" max="804" width="10.5703125" style="186" customWidth="1"/>
    <col min="805" max="1036" width="11" style="186"/>
    <col min="1037" max="1037" width="1.5703125" style="186" customWidth="1"/>
    <col min="1038" max="1038" width="8.5703125" style="186" customWidth="1"/>
    <col min="1039" max="1039" width="28.7109375" style="186" customWidth="1"/>
    <col min="1040" max="1040" width="26.5703125" style="186" customWidth="1"/>
    <col min="1041" max="1041" width="7.7109375" style="186" customWidth="1"/>
    <col min="1042" max="1042" width="19.42578125" style="186" customWidth="1"/>
    <col min="1043" max="1043" width="44.28515625" style="186" customWidth="1"/>
    <col min="1044" max="1044" width="17" style="186" customWidth="1"/>
    <col min="1045" max="1045" width="15.5703125" style="186" customWidth="1"/>
    <col min="1046" max="1046" width="14.140625" style="186" customWidth="1"/>
    <col min="1047" max="1047" width="1.7109375" style="186" customWidth="1"/>
    <col min="1048" max="1048" width="13.7109375" style="186" customWidth="1"/>
    <col min="1049" max="1049" width="13.85546875" style="186" bestFit="1" customWidth="1"/>
    <col min="1050" max="1050" width="2.5703125" style="186" customWidth="1"/>
    <col min="1051" max="1051" width="12.42578125" style="186" customWidth="1"/>
    <col min="1052" max="1052" width="13.5703125" style="186" customWidth="1"/>
    <col min="1053" max="1053" width="2.5703125" style="186" customWidth="1"/>
    <col min="1054" max="1054" width="12.42578125" style="186" customWidth="1"/>
    <col min="1055" max="1055" width="13.5703125" style="186" customWidth="1"/>
    <col min="1056" max="1056" width="2.5703125" style="186" customWidth="1"/>
    <col min="1057" max="1057" width="11.5703125" style="186" customWidth="1"/>
    <col min="1058" max="1058" width="13" style="186" customWidth="1"/>
    <col min="1059" max="1059" width="1.42578125" style="186" customWidth="1"/>
    <col min="1060" max="1060" width="10.5703125" style="186" customWidth="1"/>
    <col min="1061" max="1292" width="11" style="186"/>
    <col min="1293" max="1293" width="1.5703125" style="186" customWidth="1"/>
    <col min="1294" max="1294" width="8.5703125" style="186" customWidth="1"/>
    <col min="1295" max="1295" width="28.7109375" style="186" customWidth="1"/>
    <col min="1296" max="1296" width="26.5703125" style="186" customWidth="1"/>
    <col min="1297" max="1297" width="7.7109375" style="186" customWidth="1"/>
    <col min="1298" max="1298" width="19.42578125" style="186" customWidth="1"/>
    <col min="1299" max="1299" width="44.28515625" style="186" customWidth="1"/>
    <col min="1300" max="1300" width="17" style="186" customWidth="1"/>
    <col min="1301" max="1301" width="15.5703125" style="186" customWidth="1"/>
    <col min="1302" max="1302" width="14.140625" style="186" customWidth="1"/>
    <col min="1303" max="1303" width="1.7109375" style="186" customWidth="1"/>
    <col min="1304" max="1304" width="13.7109375" style="186" customWidth="1"/>
    <col min="1305" max="1305" width="13.85546875" style="186" bestFit="1" customWidth="1"/>
    <col min="1306" max="1306" width="2.5703125" style="186" customWidth="1"/>
    <col min="1307" max="1307" width="12.42578125" style="186" customWidth="1"/>
    <col min="1308" max="1308" width="13.5703125" style="186" customWidth="1"/>
    <col min="1309" max="1309" width="2.5703125" style="186" customWidth="1"/>
    <col min="1310" max="1310" width="12.42578125" style="186" customWidth="1"/>
    <col min="1311" max="1311" width="13.5703125" style="186" customWidth="1"/>
    <col min="1312" max="1312" width="2.5703125" style="186" customWidth="1"/>
    <col min="1313" max="1313" width="11.5703125" style="186" customWidth="1"/>
    <col min="1314" max="1314" width="13" style="186" customWidth="1"/>
    <col min="1315" max="1315" width="1.42578125" style="186" customWidth="1"/>
    <col min="1316" max="1316" width="10.5703125" style="186" customWidth="1"/>
    <col min="1317" max="1548" width="11" style="186"/>
    <col min="1549" max="1549" width="1.5703125" style="186" customWidth="1"/>
    <col min="1550" max="1550" width="8.5703125" style="186" customWidth="1"/>
    <col min="1551" max="1551" width="28.7109375" style="186" customWidth="1"/>
    <col min="1552" max="1552" width="26.5703125" style="186" customWidth="1"/>
    <col min="1553" max="1553" width="7.7109375" style="186" customWidth="1"/>
    <col min="1554" max="1554" width="19.42578125" style="186" customWidth="1"/>
    <col min="1555" max="1555" width="44.28515625" style="186" customWidth="1"/>
    <col min="1556" max="1556" width="17" style="186" customWidth="1"/>
    <col min="1557" max="1557" width="15.5703125" style="186" customWidth="1"/>
    <col min="1558" max="1558" width="14.140625" style="186" customWidth="1"/>
    <col min="1559" max="1559" width="1.7109375" style="186" customWidth="1"/>
    <col min="1560" max="1560" width="13.7109375" style="186" customWidth="1"/>
    <col min="1561" max="1561" width="13.85546875" style="186" bestFit="1" customWidth="1"/>
    <col min="1562" max="1562" width="2.5703125" style="186" customWidth="1"/>
    <col min="1563" max="1563" width="12.42578125" style="186" customWidth="1"/>
    <col min="1564" max="1564" width="13.5703125" style="186" customWidth="1"/>
    <col min="1565" max="1565" width="2.5703125" style="186" customWidth="1"/>
    <col min="1566" max="1566" width="12.42578125" style="186" customWidth="1"/>
    <col min="1567" max="1567" width="13.5703125" style="186" customWidth="1"/>
    <col min="1568" max="1568" width="2.5703125" style="186" customWidth="1"/>
    <col min="1569" max="1569" width="11.5703125" style="186" customWidth="1"/>
    <col min="1570" max="1570" width="13" style="186" customWidth="1"/>
    <col min="1571" max="1571" width="1.42578125" style="186" customWidth="1"/>
    <col min="1572" max="1572" width="10.5703125" style="186" customWidth="1"/>
    <col min="1573" max="1804" width="11" style="186"/>
    <col min="1805" max="1805" width="1.5703125" style="186" customWidth="1"/>
    <col min="1806" max="1806" width="8.5703125" style="186" customWidth="1"/>
    <col min="1807" max="1807" width="28.7109375" style="186" customWidth="1"/>
    <col min="1808" max="1808" width="26.5703125" style="186" customWidth="1"/>
    <col min="1809" max="1809" width="7.7109375" style="186" customWidth="1"/>
    <col min="1810" max="1810" width="19.42578125" style="186" customWidth="1"/>
    <col min="1811" max="1811" width="44.28515625" style="186" customWidth="1"/>
    <col min="1812" max="1812" width="17" style="186" customWidth="1"/>
    <col min="1813" max="1813" width="15.5703125" style="186" customWidth="1"/>
    <col min="1814" max="1814" width="14.140625" style="186" customWidth="1"/>
    <col min="1815" max="1815" width="1.7109375" style="186" customWidth="1"/>
    <col min="1816" max="1816" width="13.7109375" style="186" customWidth="1"/>
    <col min="1817" max="1817" width="13.85546875" style="186" bestFit="1" customWidth="1"/>
    <col min="1818" max="1818" width="2.5703125" style="186" customWidth="1"/>
    <col min="1819" max="1819" width="12.42578125" style="186" customWidth="1"/>
    <col min="1820" max="1820" width="13.5703125" style="186" customWidth="1"/>
    <col min="1821" max="1821" width="2.5703125" style="186" customWidth="1"/>
    <col min="1822" max="1822" width="12.42578125" style="186" customWidth="1"/>
    <col min="1823" max="1823" width="13.5703125" style="186" customWidth="1"/>
    <col min="1824" max="1824" width="2.5703125" style="186" customWidth="1"/>
    <col min="1825" max="1825" width="11.5703125" style="186" customWidth="1"/>
    <col min="1826" max="1826" width="13" style="186" customWidth="1"/>
    <col min="1827" max="1827" width="1.42578125" style="186" customWidth="1"/>
    <col min="1828" max="1828" width="10.5703125" style="186" customWidth="1"/>
    <col min="1829" max="2060" width="11" style="186"/>
    <col min="2061" max="2061" width="1.5703125" style="186" customWidth="1"/>
    <col min="2062" max="2062" width="8.5703125" style="186" customWidth="1"/>
    <col min="2063" max="2063" width="28.7109375" style="186" customWidth="1"/>
    <col min="2064" max="2064" width="26.5703125" style="186" customWidth="1"/>
    <col min="2065" max="2065" width="7.7109375" style="186" customWidth="1"/>
    <col min="2066" max="2066" width="19.42578125" style="186" customWidth="1"/>
    <col min="2067" max="2067" width="44.28515625" style="186" customWidth="1"/>
    <col min="2068" max="2068" width="17" style="186" customWidth="1"/>
    <col min="2069" max="2069" width="15.5703125" style="186" customWidth="1"/>
    <col min="2070" max="2070" width="14.140625" style="186" customWidth="1"/>
    <col min="2071" max="2071" width="1.7109375" style="186" customWidth="1"/>
    <col min="2072" max="2072" width="13.7109375" style="186" customWidth="1"/>
    <col min="2073" max="2073" width="13.85546875" style="186" bestFit="1" customWidth="1"/>
    <col min="2074" max="2074" width="2.5703125" style="186" customWidth="1"/>
    <col min="2075" max="2075" width="12.42578125" style="186" customWidth="1"/>
    <col min="2076" max="2076" width="13.5703125" style="186" customWidth="1"/>
    <col min="2077" max="2077" width="2.5703125" style="186" customWidth="1"/>
    <col min="2078" max="2078" width="12.42578125" style="186" customWidth="1"/>
    <col min="2079" max="2079" width="13.5703125" style="186" customWidth="1"/>
    <col min="2080" max="2080" width="2.5703125" style="186" customWidth="1"/>
    <col min="2081" max="2081" width="11.5703125" style="186" customWidth="1"/>
    <col min="2082" max="2082" width="13" style="186" customWidth="1"/>
    <col min="2083" max="2083" width="1.42578125" style="186" customWidth="1"/>
    <col min="2084" max="2084" width="10.5703125" style="186" customWidth="1"/>
    <col min="2085" max="2316" width="11" style="186"/>
    <col min="2317" max="2317" width="1.5703125" style="186" customWidth="1"/>
    <col min="2318" max="2318" width="8.5703125" style="186" customWidth="1"/>
    <col min="2319" max="2319" width="28.7109375" style="186" customWidth="1"/>
    <col min="2320" max="2320" width="26.5703125" style="186" customWidth="1"/>
    <col min="2321" max="2321" width="7.7109375" style="186" customWidth="1"/>
    <col min="2322" max="2322" width="19.42578125" style="186" customWidth="1"/>
    <col min="2323" max="2323" width="44.28515625" style="186" customWidth="1"/>
    <col min="2324" max="2324" width="17" style="186" customWidth="1"/>
    <col min="2325" max="2325" width="15.5703125" style="186" customWidth="1"/>
    <col min="2326" max="2326" width="14.140625" style="186" customWidth="1"/>
    <col min="2327" max="2327" width="1.7109375" style="186" customWidth="1"/>
    <col min="2328" max="2328" width="13.7109375" style="186" customWidth="1"/>
    <col min="2329" max="2329" width="13.85546875" style="186" bestFit="1" customWidth="1"/>
    <col min="2330" max="2330" width="2.5703125" style="186" customWidth="1"/>
    <col min="2331" max="2331" width="12.42578125" style="186" customWidth="1"/>
    <col min="2332" max="2332" width="13.5703125" style="186" customWidth="1"/>
    <col min="2333" max="2333" width="2.5703125" style="186" customWidth="1"/>
    <col min="2334" max="2334" width="12.42578125" style="186" customWidth="1"/>
    <col min="2335" max="2335" width="13.5703125" style="186" customWidth="1"/>
    <col min="2336" max="2336" width="2.5703125" style="186" customWidth="1"/>
    <col min="2337" max="2337" width="11.5703125" style="186" customWidth="1"/>
    <col min="2338" max="2338" width="13" style="186" customWidth="1"/>
    <col min="2339" max="2339" width="1.42578125" style="186" customWidth="1"/>
    <col min="2340" max="2340" width="10.5703125" style="186" customWidth="1"/>
    <col min="2341" max="2572" width="11" style="186"/>
    <col min="2573" max="2573" width="1.5703125" style="186" customWidth="1"/>
    <col min="2574" max="2574" width="8.5703125" style="186" customWidth="1"/>
    <col min="2575" max="2575" width="28.7109375" style="186" customWidth="1"/>
    <col min="2576" max="2576" width="26.5703125" style="186" customWidth="1"/>
    <col min="2577" max="2577" width="7.7109375" style="186" customWidth="1"/>
    <col min="2578" max="2578" width="19.42578125" style="186" customWidth="1"/>
    <col min="2579" max="2579" width="44.28515625" style="186" customWidth="1"/>
    <col min="2580" max="2580" width="17" style="186" customWidth="1"/>
    <col min="2581" max="2581" width="15.5703125" style="186" customWidth="1"/>
    <col min="2582" max="2582" width="14.140625" style="186" customWidth="1"/>
    <col min="2583" max="2583" width="1.7109375" style="186" customWidth="1"/>
    <col min="2584" max="2584" width="13.7109375" style="186" customWidth="1"/>
    <col min="2585" max="2585" width="13.85546875" style="186" bestFit="1" customWidth="1"/>
    <col min="2586" max="2586" width="2.5703125" style="186" customWidth="1"/>
    <col min="2587" max="2587" width="12.42578125" style="186" customWidth="1"/>
    <col min="2588" max="2588" width="13.5703125" style="186" customWidth="1"/>
    <col min="2589" max="2589" width="2.5703125" style="186" customWidth="1"/>
    <col min="2590" max="2590" width="12.42578125" style="186" customWidth="1"/>
    <col min="2591" max="2591" width="13.5703125" style="186" customWidth="1"/>
    <col min="2592" max="2592" width="2.5703125" style="186" customWidth="1"/>
    <col min="2593" max="2593" width="11.5703125" style="186" customWidth="1"/>
    <col min="2594" max="2594" width="13" style="186" customWidth="1"/>
    <col min="2595" max="2595" width="1.42578125" style="186" customWidth="1"/>
    <col min="2596" max="2596" width="10.5703125" style="186" customWidth="1"/>
    <col min="2597" max="2828" width="11" style="186"/>
    <col min="2829" max="2829" width="1.5703125" style="186" customWidth="1"/>
    <col min="2830" max="2830" width="8.5703125" style="186" customWidth="1"/>
    <col min="2831" max="2831" width="28.7109375" style="186" customWidth="1"/>
    <col min="2832" max="2832" width="26.5703125" style="186" customWidth="1"/>
    <col min="2833" max="2833" width="7.7109375" style="186" customWidth="1"/>
    <col min="2834" max="2834" width="19.42578125" style="186" customWidth="1"/>
    <col min="2835" max="2835" width="44.28515625" style="186" customWidth="1"/>
    <col min="2836" max="2836" width="17" style="186" customWidth="1"/>
    <col min="2837" max="2837" width="15.5703125" style="186" customWidth="1"/>
    <col min="2838" max="2838" width="14.140625" style="186" customWidth="1"/>
    <col min="2839" max="2839" width="1.7109375" style="186" customWidth="1"/>
    <col min="2840" max="2840" width="13.7109375" style="186" customWidth="1"/>
    <col min="2841" max="2841" width="13.85546875" style="186" bestFit="1" customWidth="1"/>
    <col min="2842" max="2842" width="2.5703125" style="186" customWidth="1"/>
    <col min="2843" max="2843" width="12.42578125" style="186" customWidth="1"/>
    <col min="2844" max="2844" width="13.5703125" style="186" customWidth="1"/>
    <col min="2845" max="2845" width="2.5703125" style="186" customWidth="1"/>
    <col min="2846" max="2846" width="12.42578125" style="186" customWidth="1"/>
    <col min="2847" max="2847" width="13.5703125" style="186" customWidth="1"/>
    <col min="2848" max="2848" width="2.5703125" style="186" customWidth="1"/>
    <col min="2849" max="2849" width="11.5703125" style="186" customWidth="1"/>
    <col min="2850" max="2850" width="13" style="186" customWidth="1"/>
    <col min="2851" max="2851" width="1.42578125" style="186" customWidth="1"/>
    <col min="2852" max="2852" width="10.5703125" style="186" customWidth="1"/>
    <col min="2853" max="3084" width="11" style="186"/>
    <col min="3085" max="3085" width="1.5703125" style="186" customWidth="1"/>
    <col min="3086" max="3086" width="8.5703125" style="186" customWidth="1"/>
    <col min="3087" max="3087" width="28.7109375" style="186" customWidth="1"/>
    <col min="3088" max="3088" width="26.5703125" style="186" customWidth="1"/>
    <col min="3089" max="3089" width="7.7109375" style="186" customWidth="1"/>
    <col min="3090" max="3090" width="19.42578125" style="186" customWidth="1"/>
    <col min="3091" max="3091" width="44.28515625" style="186" customWidth="1"/>
    <col min="3092" max="3092" width="17" style="186" customWidth="1"/>
    <col min="3093" max="3093" width="15.5703125" style="186" customWidth="1"/>
    <col min="3094" max="3094" width="14.140625" style="186" customWidth="1"/>
    <col min="3095" max="3095" width="1.7109375" style="186" customWidth="1"/>
    <col min="3096" max="3096" width="13.7109375" style="186" customWidth="1"/>
    <col min="3097" max="3097" width="13.85546875" style="186" bestFit="1" customWidth="1"/>
    <col min="3098" max="3098" width="2.5703125" style="186" customWidth="1"/>
    <col min="3099" max="3099" width="12.42578125" style="186" customWidth="1"/>
    <col min="3100" max="3100" width="13.5703125" style="186" customWidth="1"/>
    <col min="3101" max="3101" width="2.5703125" style="186" customWidth="1"/>
    <col min="3102" max="3102" width="12.42578125" style="186" customWidth="1"/>
    <col min="3103" max="3103" width="13.5703125" style="186" customWidth="1"/>
    <col min="3104" max="3104" width="2.5703125" style="186" customWidth="1"/>
    <col min="3105" max="3105" width="11.5703125" style="186" customWidth="1"/>
    <col min="3106" max="3106" width="13" style="186" customWidth="1"/>
    <col min="3107" max="3107" width="1.42578125" style="186" customWidth="1"/>
    <col min="3108" max="3108" width="10.5703125" style="186" customWidth="1"/>
    <col min="3109" max="3340" width="11" style="186"/>
    <col min="3341" max="3341" width="1.5703125" style="186" customWidth="1"/>
    <col min="3342" max="3342" width="8.5703125" style="186" customWidth="1"/>
    <col min="3343" max="3343" width="28.7109375" style="186" customWidth="1"/>
    <col min="3344" max="3344" width="26.5703125" style="186" customWidth="1"/>
    <col min="3345" max="3345" width="7.7109375" style="186" customWidth="1"/>
    <col min="3346" max="3346" width="19.42578125" style="186" customWidth="1"/>
    <col min="3347" max="3347" width="44.28515625" style="186" customWidth="1"/>
    <col min="3348" max="3348" width="17" style="186" customWidth="1"/>
    <col min="3349" max="3349" width="15.5703125" style="186" customWidth="1"/>
    <col min="3350" max="3350" width="14.140625" style="186" customWidth="1"/>
    <col min="3351" max="3351" width="1.7109375" style="186" customWidth="1"/>
    <col min="3352" max="3352" width="13.7109375" style="186" customWidth="1"/>
    <col min="3353" max="3353" width="13.85546875" style="186" bestFit="1" customWidth="1"/>
    <col min="3354" max="3354" width="2.5703125" style="186" customWidth="1"/>
    <col min="3355" max="3355" width="12.42578125" style="186" customWidth="1"/>
    <col min="3356" max="3356" width="13.5703125" style="186" customWidth="1"/>
    <col min="3357" max="3357" width="2.5703125" style="186" customWidth="1"/>
    <col min="3358" max="3358" width="12.42578125" style="186" customWidth="1"/>
    <col min="3359" max="3359" width="13.5703125" style="186" customWidth="1"/>
    <col min="3360" max="3360" width="2.5703125" style="186" customWidth="1"/>
    <col min="3361" max="3361" width="11.5703125" style="186" customWidth="1"/>
    <col min="3362" max="3362" width="13" style="186" customWidth="1"/>
    <col min="3363" max="3363" width="1.42578125" style="186" customWidth="1"/>
    <col min="3364" max="3364" width="10.5703125" style="186" customWidth="1"/>
    <col min="3365" max="3596" width="11" style="186"/>
    <col min="3597" max="3597" width="1.5703125" style="186" customWidth="1"/>
    <col min="3598" max="3598" width="8.5703125" style="186" customWidth="1"/>
    <col min="3599" max="3599" width="28.7109375" style="186" customWidth="1"/>
    <col min="3600" max="3600" width="26.5703125" style="186" customWidth="1"/>
    <col min="3601" max="3601" width="7.7109375" style="186" customWidth="1"/>
    <col min="3602" max="3602" width="19.42578125" style="186" customWidth="1"/>
    <col min="3603" max="3603" width="44.28515625" style="186" customWidth="1"/>
    <col min="3604" max="3604" width="17" style="186" customWidth="1"/>
    <col min="3605" max="3605" width="15.5703125" style="186" customWidth="1"/>
    <col min="3606" max="3606" width="14.140625" style="186" customWidth="1"/>
    <col min="3607" max="3607" width="1.7109375" style="186" customWidth="1"/>
    <col min="3608" max="3608" width="13.7109375" style="186" customWidth="1"/>
    <col min="3609" max="3609" width="13.85546875" style="186" bestFit="1" customWidth="1"/>
    <col min="3610" max="3610" width="2.5703125" style="186" customWidth="1"/>
    <col min="3611" max="3611" width="12.42578125" style="186" customWidth="1"/>
    <col min="3612" max="3612" width="13.5703125" style="186" customWidth="1"/>
    <col min="3613" max="3613" width="2.5703125" style="186" customWidth="1"/>
    <col min="3614" max="3614" width="12.42578125" style="186" customWidth="1"/>
    <col min="3615" max="3615" width="13.5703125" style="186" customWidth="1"/>
    <col min="3616" max="3616" width="2.5703125" style="186" customWidth="1"/>
    <col min="3617" max="3617" width="11.5703125" style="186" customWidth="1"/>
    <col min="3618" max="3618" width="13" style="186" customWidth="1"/>
    <col min="3619" max="3619" width="1.42578125" style="186" customWidth="1"/>
    <col min="3620" max="3620" width="10.5703125" style="186" customWidth="1"/>
    <col min="3621" max="3852" width="11" style="186"/>
    <col min="3853" max="3853" width="1.5703125" style="186" customWidth="1"/>
    <col min="3854" max="3854" width="8.5703125" style="186" customWidth="1"/>
    <col min="3855" max="3855" width="28.7109375" style="186" customWidth="1"/>
    <col min="3856" max="3856" width="26.5703125" style="186" customWidth="1"/>
    <col min="3857" max="3857" width="7.7109375" style="186" customWidth="1"/>
    <col min="3858" max="3858" width="19.42578125" style="186" customWidth="1"/>
    <col min="3859" max="3859" width="44.28515625" style="186" customWidth="1"/>
    <col min="3860" max="3860" width="17" style="186" customWidth="1"/>
    <col min="3861" max="3861" width="15.5703125" style="186" customWidth="1"/>
    <col min="3862" max="3862" width="14.140625" style="186" customWidth="1"/>
    <col min="3863" max="3863" width="1.7109375" style="186" customWidth="1"/>
    <col min="3864" max="3864" width="13.7109375" style="186" customWidth="1"/>
    <col min="3865" max="3865" width="13.85546875" style="186" bestFit="1" customWidth="1"/>
    <col min="3866" max="3866" width="2.5703125" style="186" customWidth="1"/>
    <col min="3867" max="3867" width="12.42578125" style="186" customWidth="1"/>
    <col min="3868" max="3868" width="13.5703125" style="186" customWidth="1"/>
    <col min="3869" max="3869" width="2.5703125" style="186" customWidth="1"/>
    <col min="3870" max="3870" width="12.42578125" style="186" customWidth="1"/>
    <col min="3871" max="3871" width="13.5703125" style="186" customWidth="1"/>
    <col min="3872" max="3872" width="2.5703125" style="186" customWidth="1"/>
    <col min="3873" max="3873" width="11.5703125" style="186" customWidth="1"/>
    <col min="3874" max="3874" width="13" style="186" customWidth="1"/>
    <col min="3875" max="3875" width="1.42578125" style="186" customWidth="1"/>
    <col min="3876" max="3876" width="10.5703125" style="186" customWidth="1"/>
    <col min="3877" max="4108" width="11" style="186"/>
    <col min="4109" max="4109" width="1.5703125" style="186" customWidth="1"/>
    <col min="4110" max="4110" width="8.5703125" style="186" customWidth="1"/>
    <col min="4111" max="4111" width="28.7109375" style="186" customWidth="1"/>
    <col min="4112" max="4112" width="26.5703125" style="186" customWidth="1"/>
    <col min="4113" max="4113" width="7.7109375" style="186" customWidth="1"/>
    <col min="4114" max="4114" width="19.42578125" style="186" customWidth="1"/>
    <col min="4115" max="4115" width="44.28515625" style="186" customWidth="1"/>
    <col min="4116" max="4116" width="17" style="186" customWidth="1"/>
    <col min="4117" max="4117" width="15.5703125" style="186" customWidth="1"/>
    <col min="4118" max="4118" width="14.140625" style="186" customWidth="1"/>
    <col min="4119" max="4119" width="1.7109375" style="186" customWidth="1"/>
    <col min="4120" max="4120" width="13.7109375" style="186" customWidth="1"/>
    <col min="4121" max="4121" width="13.85546875" style="186" bestFit="1" customWidth="1"/>
    <col min="4122" max="4122" width="2.5703125" style="186" customWidth="1"/>
    <col min="4123" max="4123" width="12.42578125" style="186" customWidth="1"/>
    <col min="4124" max="4124" width="13.5703125" style="186" customWidth="1"/>
    <col min="4125" max="4125" width="2.5703125" style="186" customWidth="1"/>
    <col min="4126" max="4126" width="12.42578125" style="186" customWidth="1"/>
    <col min="4127" max="4127" width="13.5703125" style="186" customWidth="1"/>
    <col min="4128" max="4128" width="2.5703125" style="186" customWidth="1"/>
    <col min="4129" max="4129" width="11.5703125" style="186" customWidth="1"/>
    <col min="4130" max="4130" width="13" style="186" customWidth="1"/>
    <col min="4131" max="4131" width="1.42578125" style="186" customWidth="1"/>
    <col min="4132" max="4132" width="10.5703125" style="186" customWidth="1"/>
    <col min="4133" max="4364" width="11" style="186"/>
    <col min="4365" max="4365" width="1.5703125" style="186" customWidth="1"/>
    <col min="4366" max="4366" width="8.5703125" style="186" customWidth="1"/>
    <col min="4367" max="4367" width="28.7109375" style="186" customWidth="1"/>
    <col min="4368" max="4368" width="26.5703125" style="186" customWidth="1"/>
    <col min="4369" max="4369" width="7.7109375" style="186" customWidth="1"/>
    <col min="4370" max="4370" width="19.42578125" style="186" customWidth="1"/>
    <col min="4371" max="4371" width="44.28515625" style="186" customWidth="1"/>
    <col min="4372" max="4372" width="17" style="186" customWidth="1"/>
    <col min="4373" max="4373" width="15.5703125" style="186" customWidth="1"/>
    <col min="4374" max="4374" width="14.140625" style="186" customWidth="1"/>
    <col min="4375" max="4375" width="1.7109375" style="186" customWidth="1"/>
    <col min="4376" max="4376" width="13.7109375" style="186" customWidth="1"/>
    <col min="4377" max="4377" width="13.85546875" style="186" bestFit="1" customWidth="1"/>
    <col min="4378" max="4378" width="2.5703125" style="186" customWidth="1"/>
    <col min="4379" max="4379" width="12.42578125" style="186" customWidth="1"/>
    <col min="4380" max="4380" width="13.5703125" style="186" customWidth="1"/>
    <col min="4381" max="4381" width="2.5703125" style="186" customWidth="1"/>
    <col min="4382" max="4382" width="12.42578125" style="186" customWidth="1"/>
    <col min="4383" max="4383" width="13.5703125" style="186" customWidth="1"/>
    <col min="4384" max="4384" width="2.5703125" style="186" customWidth="1"/>
    <col min="4385" max="4385" width="11.5703125" style="186" customWidth="1"/>
    <col min="4386" max="4386" width="13" style="186" customWidth="1"/>
    <col min="4387" max="4387" width="1.42578125" style="186" customWidth="1"/>
    <col min="4388" max="4388" width="10.5703125" style="186" customWidth="1"/>
    <col min="4389" max="4620" width="11" style="186"/>
    <col min="4621" max="4621" width="1.5703125" style="186" customWidth="1"/>
    <col min="4622" max="4622" width="8.5703125" style="186" customWidth="1"/>
    <col min="4623" max="4623" width="28.7109375" style="186" customWidth="1"/>
    <col min="4624" max="4624" width="26.5703125" style="186" customWidth="1"/>
    <col min="4625" max="4625" width="7.7109375" style="186" customWidth="1"/>
    <col min="4626" max="4626" width="19.42578125" style="186" customWidth="1"/>
    <col min="4627" max="4627" width="44.28515625" style="186" customWidth="1"/>
    <col min="4628" max="4628" width="17" style="186" customWidth="1"/>
    <col min="4629" max="4629" width="15.5703125" style="186" customWidth="1"/>
    <col min="4630" max="4630" width="14.140625" style="186" customWidth="1"/>
    <col min="4631" max="4631" width="1.7109375" style="186" customWidth="1"/>
    <col min="4632" max="4632" width="13.7109375" style="186" customWidth="1"/>
    <col min="4633" max="4633" width="13.85546875" style="186" bestFit="1" customWidth="1"/>
    <col min="4634" max="4634" width="2.5703125" style="186" customWidth="1"/>
    <col min="4635" max="4635" width="12.42578125" style="186" customWidth="1"/>
    <col min="4636" max="4636" width="13.5703125" style="186" customWidth="1"/>
    <col min="4637" max="4637" width="2.5703125" style="186" customWidth="1"/>
    <col min="4638" max="4638" width="12.42578125" style="186" customWidth="1"/>
    <col min="4639" max="4639" width="13.5703125" style="186" customWidth="1"/>
    <col min="4640" max="4640" width="2.5703125" style="186" customWidth="1"/>
    <col min="4641" max="4641" width="11.5703125" style="186" customWidth="1"/>
    <col min="4642" max="4642" width="13" style="186" customWidth="1"/>
    <col min="4643" max="4643" width="1.42578125" style="186" customWidth="1"/>
    <col min="4644" max="4644" width="10.5703125" style="186" customWidth="1"/>
    <col min="4645" max="4876" width="11" style="186"/>
    <col min="4877" max="4877" width="1.5703125" style="186" customWidth="1"/>
    <col min="4878" max="4878" width="8.5703125" style="186" customWidth="1"/>
    <col min="4879" max="4879" width="28.7109375" style="186" customWidth="1"/>
    <col min="4880" max="4880" width="26.5703125" style="186" customWidth="1"/>
    <col min="4881" max="4881" width="7.7109375" style="186" customWidth="1"/>
    <col min="4882" max="4882" width="19.42578125" style="186" customWidth="1"/>
    <col min="4883" max="4883" width="44.28515625" style="186" customWidth="1"/>
    <col min="4884" max="4884" width="17" style="186" customWidth="1"/>
    <col min="4885" max="4885" width="15.5703125" style="186" customWidth="1"/>
    <col min="4886" max="4886" width="14.140625" style="186" customWidth="1"/>
    <col min="4887" max="4887" width="1.7109375" style="186" customWidth="1"/>
    <col min="4888" max="4888" width="13.7109375" style="186" customWidth="1"/>
    <col min="4889" max="4889" width="13.85546875" style="186" bestFit="1" customWidth="1"/>
    <col min="4890" max="4890" width="2.5703125" style="186" customWidth="1"/>
    <col min="4891" max="4891" width="12.42578125" style="186" customWidth="1"/>
    <col min="4892" max="4892" width="13.5703125" style="186" customWidth="1"/>
    <col min="4893" max="4893" width="2.5703125" style="186" customWidth="1"/>
    <col min="4894" max="4894" width="12.42578125" style="186" customWidth="1"/>
    <col min="4895" max="4895" width="13.5703125" style="186" customWidth="1"/>
    <col min="4896" max="4896" width="2.5703125" style="186" customWidth="1"/>
    <col min="4897" max="4897" width="11.5703125" style="186" customWidth="1"/>
    <col min="4898" max="4898" width="13" style="186" customWidth="1"/>
    <col min="4899" max="4899" width="1.42578125" style="186" customWidth="1"/>
    <col min="4900" max="4900" width="10.5703125" style="186" customWidth="1"/>
    <col min="4901" max="5132" width="11" style="186"/>
    <col min="5133" max="5133" width="1.5703125" style="186" customWidth="1"/>
    <col min="5134" max="5134" width="8.5703125" style="186" customWidth="1"/>
    <col min="5135" max="5135" width="28.7109375" style="186" customWidth="1"/>
    <col min="5136" max="5136" width="26.5703125" style="186" customWidth="1"/>
    <col min="5137" max="5137" width="7.7109375" style="186" customWidth="1"/>
    <col min="5138" max="5138" width="19.42578125" style="186" customWidth="1"/>
    <col min="5139" max="5139" width="44.28515625" style="186" customWidth="1"/>
    <col min="5140" max="5140" width="17" style="186" customWidth="1"/>
    <col min="5141" max="5141" width="15.5703125" style="186" customWidth="1"/>
    <col min="5142" max="5142" width="14.140625" style="186" customWidth="1"/>
    <col min="5143" max="5143" width="1.7109375" style="186" customWidth="1"/>
    <col min="5144" max="5144" width="13.7109375" style="186" customWidth="1"/>
    <col min="5145" max="5145" width="13.85546875" style="186" bestFit="1" customWidth="1"/>
    <col min="5146" max="5146" width="2.5703125" style="186" customWidth="1"/>
    <col min="5147" max="5147" width="12.42578125" style="186" customWidth="1"/>
    <col min="5148" max="5148" width="13.5703125" style="186" customWidth="1"/>
    <col min="5149" max="5149" width="2.5703125" style="186" customWidth="1"/>
    <col min="5150" max="5150" width="12.42578125" style="186" customWidth="1"/>
    <col min="5151" max="5151" width="13.5703125" style="186" customWidth="1"/>
    <col min="5152" max="5152" width="2.5703125" style="186" customWidth="1"/>
    <col min="5153" max="5153" width="11.5703125" style="186" customWidth="1"/>
    <col min="5154" max="5154" width="13" style="186" customWidth="1"/>
    <col min="5155" max="5155" width="1.42578125" style="186" customWidth="1"/>
    <col min="5156" max="5156" width="10.5703125" style="186" customWidth="1"/>
    <col min="5157" max="5388" width="11" style="186"/>
    <col min="5389" max="5389" width="1.5703125" style="186" customWidth="1"/>
    <col min="5390" max="5390" width="8.5703125" style="186" customWidth="1"/>
    <col min="5391" max="5391" width="28.7109375" style="186" customWidth="1"/>
    <col min="5392" max="5392" width="26.5703125" style="186" customWidth="1"/>
    <col min="5393" max="5393" width="7.7109375" style="186" customWidth="1"/>
    <col min="5394" max="5394" width="19.42578125" style="186" customWidth="1"/>
    <col min="5395" max="5395" width="44.28515625" style="186" customWidth="1"/>
    <col min="5396" max="5396" width="17" style="186" customWidth="1"/>
    <col min="5397" max="5397" width="15.5703125" style="186" customWidth="1"/>
    <col min="5398" max="5398" width="14.140625" style="186" customWidth="1"/>
    <col min="5399" max="5399" width="1.7109375" style="186" customWidth="1"/>
    <col min="5400" max="5400" width="13.7109375" style="186" customWidth="1"/>
    <col min="5401" max="5401" width="13.85546875" style="186" bestFit="1" customWidth="1"/>
    <col min="5402" max="5402" width="2.5703125" style="186" customWidth="1"/>
    <col min="5403" max="5403" width="12.42578125" style="186" customWidth="1"/>
    <col min="5404" max="5404" width="13.5703125" style="186" customWidth="1"/>
    <col min="5405" max="5405" width="2.5703125" style="186" customWidth="1"/>
    <col min="5406" max="5406" width="12.42578125" style="186" customWidth="1"/>
    <col min="5407" max="5407" width="13.5703125" style="186" customWidth="1"/>
    <col min="5408" max="5408" width="2.5703125" style="186" customWidth="1"/>
    <col min="5409" max="5409" width="11.5703125" style="186" customWidth="1"/>
    <col min="5410" max="5410" width="13" style="186" customWidth="1"/>
    <col min="5411" max="5411" width="1.42578125" style="186" customWidth="1"/>
    <col min="5412" max="5412" width="10.5703125" style="186" customWidth="1"/>
    <col min="5413" max="5644" width="11" style="186"/>
    <col min="5645" max="5645" width="1.5703125" style="186" customWidth="1"/>
    <col min="5646" max="5646" width="8.5703125" style="186" customWidth="1"/>
    <col min="5647" max="5647" width="28.7109375" style="186" customWidth="1"/>
    <col min="5648" max="5648" width="26.5703125" style="186" customWidth="1"/>
    <col min="5649" max="5649" width="7.7109375" style="186" customWidth="1"/>
    <col min="5650" max="5650" width="19.42578125" style="186" customWidth="1"/>
    <col min="5651" max="5651" width="44.28515625" style="186" customWidth="1"/>
    <col min="5652" max="5652" width="17" style="186" customWidth="1"/>
    <col min="5653" max="5653" width="15.5703125" style="186" customWidth="1"/>
    <col min="5654" max="5654" width="14.140625" style="186" customWidth="1"/>
    <col min="5655" max="5655" width="1.7109375" style="186" customWidth="1"/>
    <col min="5656" max="5656" width="13.7109375" style="186" customWidth="1"/>
    <col min="5657" max="5657" width="13.85546875" style="186" bestFit="1" customWidth="1"/>
    <col min="5658" max="5658" width="2.5703125" style="186" customWidth="1"/>
    <col min="5659" max="5659" width="12.42578125" style="186" customWidth="1"/>
    <col min="5660" max="5660" width="13.5703125" style="186" customWidth="1"/>
    <col min="5661" max="5661" width="2.5703125" style="186" customWidth="1"/>
    <col min="5662" max="5662" width="12.42578125" style="186" customWidth="1"/>
    <col min="5663" max="5663" width="13.5703125" style="186" customWidth="1"/>
    <col min="5664" max="5664" width="2.5703125" style="186" customWidth="1"/>
    <col min="5665" max="5665" width="11.5703125" style="186" customWidth="1"/>
    <col min="5666" max="5666" width="13" style="186" customWidth="1"/>
    <col min="5667" max="5667" width="1.42578125" style="186" customWidth="1"/>
    <col min="5668" max="5668" width="10.5703125" style="186" customWidth="1"/>
    <col min="5669" max="5900" width="11" style="186"/>
    <col min="5901" max="5901" width="1.5703125" style="186" customWidth="1"/>
    <col min="5902" max="5902" width="8.5703125" style="186" customWidth="1"/>
    <col min="5903" max="5903" width="28.7109375" style="186" customWidth="1"/>
    <col min="5904" max="5904" width="26.5703125" style="186" customWidth="1"/>
    <col min="5905" max="5905" width="7.7109375" style="186" customWidth="1"/>
    <col min="5906" max="5906" width="19.42578125" style="186" customWidth="1"/>
    <col min="5907" max="5907" width="44.28515625" style="186" customWidth="1"/>
    <col min="5908" max="5908" width="17" style="186" customWidth="1"/>
    <col min="5909" max="5909" width="15.5703125" style="186" customWidth="1"/>
    <col min="5910" max="5910" width="14.140625" style="186" customWidth="1"/>
    <col min="5911" max="5911" width="1.7109375" style="186" customWidth="1"/>
    <col min="5912" max="5912" width="13.7109375" style="186" customWidth="1"/>
    <col min="5913" max="5913" width="13.85546875" style="186" bestFit="1" customWidth="1"/>
    <col min="5914" max="5914" width="2.5703125" style="186" customWidth="1"/>
    <col min="5915" max="5915" width="12.42578125" style="186" customWidth="1"/>
    <col min="5916" max="5916" width="13.5703125" style="186" customWidth="1"/>
    <col min="5917" max="5917" width="2.5703125" style="186" customWidth="1"/>
    <col min="5918" max="5918" width="12.42578125" style="186" customWidth="1"/>
    <col min="5919" max="5919" width="13.5703125" style="186" customWidth="1"/>
    <col min="5920" max="5920" width="2.5703125" style="186" customWidth="1"/>
    <col min="5921" max="5921" width="11.5703125" style="186" customWidth="1"/>
    <col min="5922" max="5922" width="13" style="186" customWidth="1"/>
    <col min="5923" max="5923" width="1.42578125" style="186" customWidth="1"/>
    <col min="5924" max="5924" width="10.5703125" style="186" customWidth="1"/>
    <col min="5925" max="6156" width="11" style="186"/>
    <col min="6157" max="6157" width="1.5703125" style="186" customWidth="1"/>
    <col min="6158" max="6158" width="8.5703125" style="186" customWidth="1"/>
    <col min="6159" max="6159" width="28.7109375" style="186" customWidth="1"/>
    <col min="6160" max="6160" width="26.5703125" style="186" customWidth="1"/>
    <col min="6161" max="6161" width="7.7109375" style="186" customWidth="1"/>
    <col min="6162" max="6162" width="19.42578125" style="186" customWidth="1"/>
    <col min="6163" max="6163" width="44.28515625" style="186" customWidth="1"/>
    <col min="6164" max="6164" width="17" style="186" customWidth="1"/>
    <col min="6165" max="6165" width="15.5703125" style="186" customWidth="1"/>
    <col min="6166" max="6166" width="14.140625" style="186" customWidth="1"/>
    <col min="6167" max="6167" width="1.7109375" style="186" customWidth="1"/>
    <col min="6168" max="6168" width="13.7109375" style="186" customWidth="1"/>
    <col min="6169" max="6169" width="13.85546875" style="186" bestFit="1" customWidth="1"/>
    <col min="6170" max="6170" width="2.5703125" style="186" customWidth="1"/>
    <col min="6171" max="6171" width="12.42578125" style="186" customWidth="1"/>
    <col min="6172" max="6172" width="13.5703125" style="186" customWidth="1"/>
    <col min="6173" max="6173" width="2.5703125" style="186" customWidth="1"/>
    <col min="6174" max="6174" width="12.42578125" style="186" customWidth="1"/>
    <col min="6175" max="6175" width="13.5703125" style="186" customWidth="1"/>
    <col min="6176" max="6176" width="2.5703125" style="186" customWidth="1"/>
    <col min="6177" max="6177" width="11.5703125" style="186" customWidth="1"/>
    <col min="6178" max="6178" width="13" style="186" customWidth="1"/>
    <col min="6179" max="6179" width="1.42578125" style="186" customWidth="1"/>
    <col min="6180" max="6180" width="10.5703125" style="186" customWidth="1"/>
    <col min="6181" max="6412" width="11" style="186"/>
    <col min="6413" max="6413" width="1.5703125" style="186" customWidth="1"/>
    <col min="6414" max="6414" width="8.5703125" style="186" customWidth="1"/>
    <col min="6415" max="6415" width="28.7109375" style="186" customWidth="1"/>
    <col min="6416" max="6416" width="26.5703125" style="186" customWidth="1"/>
    <col min="6417" max="6417" width="7.7109375" style="186" customWidth="1"/>
    <col min="6418" max="6418" width="19.42578125" style="186" customWidth="1"/>
    <col min="6419" max="6419" width="44.28515625" style="186" customWidth="1"/>
    <col min="6420" max="6420" width="17" style="186" customWidth="1"/>
    <col min="6421" max="6421" width="15.5703125" style="186" customWidth="1"/>
    <col min="6422" max="6422" width="14.140625" style="186" customWidth="1"/>
    <col min="6423" max="6423" width="1.7109375" style="186" customWidth="1"/>
    <col min="6424" max="6424" width="13.7109375" style="186" customWidth="1"/>
    <col min="6425" max="6425" width="13.85546875" style="186" bestFit="1" customWidth="1"/>
    <col min="6426" max="6426" width="2.5703125" style="186" customWidth="1"/>
    <col min="6427" max="6427" width="12.42578125" style="186" customWidth="1"/>
    <col min="6428" max="6428" width="13.5703125" style="186" customWidth="1"/>
    <col min="6429" max="6429" width="2.5703125" style="186" customWidth="1"/>
    <col min="6430" max="6430" width="12.42578125" style="186" customWidth="1"/>
    <col min="6431" max="6431" width="13.5703125" style="186" customWidth="1"/>
    <col min="6432" max="6432" width="2.5703125" style="186" customWidth="1"/>
    <col min="6433" max="6433" width="11.5703125" style="186" customWidth="1"/>
    <col min="6434" max="6434" width="13" style="186" customWidth="1"/>
    <col min="6435" max="6435" width="1.42578125" style="186" customWidth="1"/>
    <col min="6436" max="6436" width="10.5703125" style="186" customWidth="1"/>
    <col min="6437" max="6668" width="11" style="186"/>
    <col min="6669" max="6669" width="1.5703125" style="186" customWidth="1"/>
    <col min="6670" max="6670" width="8.5703125" style="186" customWidth="1"/>
    <col min="6671" max="6671" width="28.7109375" style="186" customWidth="1"/>
    <col min="6672" max="6672" width="26.5703125" style="186" customWidth="1"/>
    <col min="6673" max="6673" width="7.7109375" style="186" customWidth="1"/>
    <col min="6674" max="6674" width="19.42578125" style="186" customWidth="1"/>
    <col min="6675" max="6675" width="44.28515625" style="186" customWidth="1"/>
    <col min="6676" max="6676" width="17" style="186" customWidth="1"/>
    <col min="6677" max="6677" width="15.5703125" style="186" customWidth="1"/>
    <col min="6678" max="6678" width="14.140625" style="186" customWidth="1"/>
    <col min="6679" max="6679" width="1.7109375" style="186" customWidth="1"/>
    <col min="6680" max="6680" width="13.7109375" style="186" customWidth="1"/>
    <col min="6681" max="6681" width="13.85546875" style="186" bestFit="1" customWidth="1"/>
    <col min="6682" max="6682" width="2.5703125" style="186" customWidth="1"/>
    <col min="6683" max="6683" width="12.42578125" style="186" customWidth="1"/>
    <col min="6684" max="6684" width="13.5703125" style="186" customWidth="1"/>
    <col min="6685" max="6685" width="2.5703125" style="186" customWidth="1"/>
    <col min="6686" max="6686" width="12.42578125" style="186" customWidth="1"/>
    <col min="6687" max="6687" width="13.5703125" style="186" customWidth="1"/>
    <col min="6688" max="6688" width="2.5703125" style="186" customWidth="1"/>
    <col min="6689" max="6689" width="11.5703125" style="186" customWidth="1"/>
    <col min="6690" max="6690" width="13" style="186" customWidth="1"/>
    <col min="6691" max="6691" width="1.42578125" style="186" customWidth="1"/>
    <col min="6692" max="6692" width="10.5703125" style="186" customWidth="1"/>
    <col min="6693" max="6924" width="11" style="186"/>
    <col min="6925" max="6925" width="1.5703125" style="186" customWidth="1"/>
    <col min="6926" max="6926" width="8.5703125" style="186" customWidth="1"/>
    <col min="6927" max="6927" width="28.7109375" style="186" customWidth="1"/>
    <col min="6928" max="6928" width="26.5703125" style="186" customWidth="1"/>
    <col min="6929" max="6929" width="7.7109375" style="186" customWidth="1"/>
    <col min="6930" max="6930" width="19.42578125" style="186" customWidth="1"/>
    <col min="6931" max="6931" width="44.28515625" style="186" customWidth="1"/>
    <col min="6932" max="6932" width="17" style="186" customWidth="1"/>
    <col min="6933" max="6933" width="15.5703125" style="186" customWidth="1"/>
    <col min="6934" max="6934" width="14.140625" style="186" customWidth="1"/>
    <col min="6935" max="6935" width="1.7109375" style="186" customWidth="1"/>
    <col min="6936" max="6936" width="13.7109375" style="186" customWidth="1"/>
    <col min="6937" max="6937" width="13.85546875" style="186" bestFit="1" customWidth="1"/>
    <col min="6938" max="6938" width="2.5703125" style="186" customWidth="1"/>
    <col min="6939" max="6939" width="12.42578125" style="186" customWidth="1"/>
    <col min="6940" max="6940" width="13.5703125" style="186" customWidth="1"/>
    <col min="6941" max="6941" width="2.5703125" style="186" customWidth="1"/>
    <col min="6942" max="6942" width="12.42578125" style="186" customWidth="1"/>
    <col min="6943" max="6943" width="13.5703125" style="186" customWidth="1"/>
    <col min="6944" max="6944" width="2.5703125" style="186" customWidth="1"/>
    <col min="6945" max="6945" width="11.5703125" style="186" customWidth="1"/>
    <col min="6946" max="6946" width="13" style="186" customWidth="1"/>
    <col min="6947" max="6947" width="1.42578125" style="186" customWidth="1"/>
    <col min="6948" max="6948" width="10.5703125" style="186" customWidth="1"/>
    <col min="6949" max="7180" width="11" style="186"/>
    <col min="7181" max="7181" width="1.5703125" style="186" customWidth="1"/>
    <col min="7182" max="7182" width="8.5703125" style="186" customWidth="1"/>
    <col min="7183" max="7183" width="28.7109375" style="186" customWidth="1"/>
    <col min="7184" max="7184" width="26.5703125" style="186" customWidth="1"/>
    <col min="7185" max="7185" width="7.7109375" style="186" customWidth="1"/>
    <col min="7186" max="7186" width="19.42578125" style="186" customWidth="1"/>
    <col min="7187" max="7187" width="44.28515625" style="186" customWidth="1"/>
    <col min="7188" max="7188" width="17" style="186" customWidth="1"/>
    <col min="7189" max="7189" width="15.5703125" style="186" customWidth="1"/>
    <col min="7190" max="7190" width="14.140625" style="186" customWidth="1"/>
    <col min="7191" max="7191" width="1.7109375" style="186" customWidth="1"/>
    <col min="7192" max="7192" width="13.7109375" style="186" customWidth="1"/>
    <col min="7193" max="7193" width="13.85546875" style="186" bestFit="1" customWidth="1"/>
    <col min="7194" max="7194" width="2.5703125" style="186" customWidth="1"/>
    <col min="7195" max="7195" width="12.42578125" style="186" customWidth="1"/>
    <col min="7196" max="7196" width="13.5703125" style="186" customWidth="1"/>
    <col min="7197" max="7197" width="2.5703125" style="186" customWidth="1"/>
    <col min="7198" max="7198" width="12.42578125" style="186" customWidth="1"/>
    <col min="7199" max="7199" width="13.5703125" style="186" customWidth="1"/>
    <col min="7200" max="7200" width="2.5703125" style="186" customWidth="1"/>
    <col min="7201" max="7201" width="11.5703125" style="186" customWidth="1"/>
    <col min="7202" max="7202" width="13" style="186" customWidth="1"/>
    <col min="7203" max="7203" width="1.42578125" style="186" customWidth="1"/>
    <col min="7204" max="7204" width="10.5703125" style="186" customWidth="1"/>
    <col min="7205" max="7436" width="11" style="186"/>
    <col min="7437" max="7437" width="1.5703125" style="186" customWidth="1"/>
    <col min="7438" max="7438" width="8.5703125" style="186" customWidth="1"/>
    <col min="7439" max="7439" width="28.7109375" style="186" customWidth="1"/>
    <col min="7440" max="7440" width="26.5703125" style="186" customWidth="1"/>
    <col min="7441" max="7441" width="7.7109375" style="186" customWidth="1"/>
    <col min="7442" max="7442" width="19.42578125" style="186" customWidth="1"/>
    <col min="7443" max="7443" width="44.28515625" style="186" customWidth="1"/>
    <col min="7444" max="7444" width="17" style="186" customWidth="1"/>
    <col min="7445" max="7445" width="15.5703125" style="186" customWidth="1"/>
    <col min="7446" max="7446" width="14.140625" style="186" customWidth="1"/>
    <col min="7447" max="7447" width="1.7109375" style="186" customWidth="1"/>
    <col min="7448" max="7448" width="13.7109375" style="186" customWidth="1"/>
    <col min="7449" max="7449" width="13.85546875" style="186" bestFit="1" customWidth="1"/>
    <col min="7450" max="7450" width="2.5703125" style="186" customWidth="1"/>
    <col min="7451" max="7451" width="12.42578125" style="186" customWidth="1"/>
    <col min="7452" max="7452" width="13.5703125" style="186" customWidth="1"/>
    <col min="7453" max="7453" width="2.5703125" style="186" customWidth="1"/>
    <col min="7454" max="7454" width="12.42578125" style="186" customWidth="1"/>
    <col min="7455" max="7455" width="13.5703125" style="186" customWidth="1"/>
    <col min="7456" max="7456" width="2.5703125" style="186" customWidth="1"/>
    <col min="7457" max="7457" width="11.5703125" style="186" customWidth="1"/>
    <col min="7458" max="7458" width="13" style="186" customWidth="1"/>
    <col min="7459" max="7459" width="1.42578125" style="186" customWidth="1"/>
    <col min="7460" max="7460" width="10.5703125" style="186" customWidth="1"/>
    <col min="7461" max="7692" width="11" style="186"/>
    <col min="7693" max="7693" width="1.5703125" style="186" customWidth="1"/>
    <col min="7694" max="7694" width="8.5703125" style="186" customWidth="1"/>
    <col min="7695" max="7695" width="28.7109375" style="186" customWidth="1"/>
    <col min="7696" max="7696" width="26.5703125" style="186" customWidth="1"/>
    <col min="7697" max="7697" width="7.7109375" style="186" customWidth="1"/>
    <col min="7698" max="7698" width="19.42578125" style="186" customWidth="1"/>
    <col min="7699" max="7699" width="44.28515625" style="186" customWidth="1"/>
    <col min="7700" max="7700" width="17" style="186" customWidth="1"/>
    <col min="7701" max="7701" width="15.5703125" style="186" customWidth="1"/>
    <col min="7702" max="7702" width="14.140625" style="186" customWidth="1"/>
    <col min="7703" max="7703" width="1.7109375" style="186" customWidth="1"/>
    <col min="7704" max="7704" width="13.7109375" style="186" customWidth="1"/>
    <col min="7705" max="7705" width="13.85546875" style="186" bestFit="1" customWidth="1"/>
    <col min="7706" max="7706" width="2.5703125" style="186" customWidth="1"/>
    <col min="7707" max="7707" width="12.42578125" style="186" customWidth="1"/>
    <col min="7708" max="7708" width="13.5703125" style="186" customWidth="1"/>
    <col min="7709" max="7709" width="2.5703125" style="186" customWidth="1"/>
    <col min="7710" max="7710" width="12.42578125" style="186" customWidth="1"/>
    <col min="7711" max="7711" width="13.5703125" style="186" customWidth="1"/>
    <col min="7712" max="7712" width="2.5703125" style="186" customWidth="1"/>
    <col min="7713" max="7713" width="11.5703125" style="186" customWidth="1"/>
    <col min="7714" max="7714" width="13" style="186" customWidth="1"/>
    <col min="7715" max="7715" width="1.42578125" style="186" customWidth="1"/>
    <col min="7716" max="7716" width="10.5703125" style="186" customWidth="1"/>
    <col min="7717" max="7948" width="11" style="186"/>
    <col min="7949" max="7949" width="1.5703125" style="186" customWidth="1"/>
    <col min="7950" max="7950" width="8.5703125" style="186" customWidth="1"/>
    <col min="7951" max="7951" width="28.7109375" style="186" customWidth="1"/>
    <col min="7952" max="7952" width="26.5703125" style="186" customWidth="1"/>
    <col min="7953" max="7953" width="7.7109375" style="186" customWidth="1"/>
    <col min="7954" max="7954" width="19.42578125" style="186" customWidth="1"/>
    <col min="7955" max="7955" width="44.28515625" style="186" customWidth="1"/>
    <col min="7956" max="7956" width="17" style="186" customWidth="1"/>
    <col min="7957" max="7957" width="15.5703125" style="186" customWidth="1"/>
    <col min="7958" max="7958" width="14.140625" style="186" customWidth="1"/>
    <col min="7959" max="7959" width="1.7109375" style="186" customWidth="1"/>
    <col min="7960" max="7960" width="13.7109375" style="186" customWidth="1"/>
    <col min="7961" max="7961" width="13.85546875" style="186" bestFit="1" customWidth="1"/>
    <col min="7962" max="7962" width="2.5703125" style="186" customWidth="1"/>
    <col min="7963" max="7963" width="12.42578125" style="186" customWidth="1"/>
    <col min="7964" max="7964" width="13.5703125" style="186" customWidth="1"/>
    <col min="7965" max="7965" width="2.5703125" style="186" customWidth="1"/>
    <col min="7966" max="7966" width="12.42578125" style="186" customWidth="1"/>
    <col min="7967" max="7967" width="13.5703125" style="186" customWidth="1"/>
    <col min="7968" max="7968" width="2.5703125" style="186" customWidth="1"/>
    <col min="7969" max="7969" width="11.5703125" style="186" customWidth="1"/>
    <col min="7970" max="7970" width="13" style="186" customWidth="1"/>
    <col min="7971" max="7971" width="1.42578125" style="186" customWidth="1"/>
    <col min="7972" max="7972" width="10.5703125" style="186" customWidth="1"/>
    <col min="7973" max="8204" width="11" style="186"/>
    <col min="8205" max="8205" width="1.5703125" style="186" customWidth="1"/>
    <col min="8206" max="8206" width="8.5703125" style="186" customWidth="1"/>
    <col min="8207" max="8207" width="28.7109375" style="186" customWidth="1"/>
    <col min="8208" max="8208" width="26.5703125" style="186" customWidth="1"/>
    <col min="8209" max="8209" width="7.7109375" style="186" customWidth="1"/>
    <col min="8210" max="8210" width="19.42578125" style="186" customWidth="1"/>
    <col min="8211" max="8211" width="44.28515625" style="186" customWidth="1"/>
    <col min="8212" max="8212" width="17" style="186" customWidth="1"/>
    <col min="8213" max="8213" width="15.5703125" style="186" customWidth="1"/>
    <col min="8214" max="8214" width="14.140625" style="186" customWidth="1"/>
    <col min="8215" max="8215" width="1.7109375" style="186" customWidth="1"/>
    <col min="8216" max="8216" width="13.7109375" style="186" customWidth="1"/>
    <col min="8217" max="8217" width="13.85546875" style="186" bestFit="1" customWidth="1"/>
    <col min="8218" max="8218" width="2.5703125" style="186" customWidth="1"/>
    <col min="8219" max="8219" width="12.42578125" style="186" customWidth="1"/>
    <col min="8220" max="8220" width="13.5703125" style="186" customWidth="1"/>
    <col min="8221" max="8221" width="2.5703125" style="186" customWidth="1"/>
    <col min="8222" max="8222" width="12.42578125" style="186" customWidth="1"/>
    <col min="8223" max="8223" width="13.5703125" style="186" customWidth="1"/>
    <col min="8224" max="8224" width="2.5703125" style="186" customWidth="1"/>
    <col min="8225" max="8225" width="11.5703125" style="186" customWidth="1"/>
    <col min="8226" max="8226" width="13" style="186" customWidth="1"/>
    <col min="8227" max="8227" width="1.42578125" style="186" customWidth="1"/>
    <col min="8228" max="8228" width="10.5703125" style="186" customWidth="1"/>
    <col min="8229" max="8460" width="11" style="186"/>
    <col min="8461" max="8461" width="1.5703125" style="186" customWidth="1"/>
    <col min="8462" max="8462" width="8.5703125" style="186" customWidth="1"/>
    <col min="8463" max="8463" width="28.7109375" style="186" customWidth="1"/>
    <col min="8464" max="8464" width="26.5703125" style="186" customWidth="1"/>
    <col min="8465" max="8465" width="7.7109375" style="186" customWidth="1"/>
    <col min="8466" max="8466" width="19.42578125" style="186" customWidth="1"/>
    <col min="8467" max="8467" width="44.28515625" style="186" customWidth="1"/>
    <col min="8468" max="8468" width="17" style="186" customWidth="1"/>
    <col min="8469" max="8469" width="15.5703125" style="186" customWidth="1"/>
    <col min="8470" max="8470" width="14.140625" style="186" customWidth="1"/>
    <col min="8471" max="8471" width="1.7109375" style="186" customWidth="1"/>
    <col min="8472" max="8472" width="13.7109375" style="186" customWidth="1"/>
    <col min="8473" max="8473" width="13.85546875" style="186" bestFit="1" customWidth="1"/>
    <col min="8474" max="8474" width="2.5703125" style="186" customWidth="1"/>
    <col min="8475" max="8475" width="12.42578125" style="186" customWidth="1"/>
    <col min="8476" max="8476" width="13.5703125" style="186" customWidth="1"/>
    <col min="8477" max="8477" width="2.5703125" style="186" customWidth="1"/>
    <col min="8478" max="8478" width="12.42578125" style="186" customWidth="1"/>
    <col min="8479" max="8479" width="13.5703125" style="186" customWidth="1"/>
    <col min="8480" max="8480" width="2.5703125" style="186" customWidth="1"/>
    <col min="8481" max="8481" width="11.5703125" style="186" customWidth="1"/>
    <col min="8482" max="8482" width="13" style="186" customWidth="1"/>
    <col min="8483" max="8483" width="1.42578125" style="186" customWidth="1"/>
    <col min="8484" max="8484" width="10.5703125" style="186" customWidth="1"/>
    <col min="8485" max="8716" width="11" style="186"/>
    <col min="8717" max="8717" width="1.5703125" style="186" customWidth="1"/>
    <col min="8718" max="8718" width="8.5703125" style="186" customWidth="1"/>
    <col min="8719" max="8719" width="28.7109375" style="186" customWidth="1"/>
    <col min="8720" max="8720" width="26.5703125" style="186" customWidth="1"/>
    <col min="8721" max="8721" width="7.7109375" style="186" customWidth="1"/>
    <col min="8722" max="8722" width="19.42578125" style="186" customWidth="1"/>
    <col min="8723" max="8723" width="44.28515625" style="186" customWidth="1"/>
    <col min="8724" max="8724" width="17" style="186" customWidth="1"/>
    <col min="8725" max="8725" width="15.5703125" style="186" customWidth="1"/>
    <col min="8726" max="8726" width="14.140625" style="186" customWidth="1"/>
    <col min="8727" max="8727" width="1.7109375" style="186" customWidth="1"/>
    <col min="8728" max="8728" width="13.7109375" style="186" customWidth="1"/>
    <col min="8729" max="8729" width="13.85546875" style="186" bestFit="1" customWidth="1"/>
    <col min="8730" max="8730" width="2.5703125" style="186" customWidth="1"/>
    <col min="8731" max="8731" width="12.42578125" style="186" customWidth="1"/>
    <col min="8732" max="8732" width="13.5703125" style="186" customWidth="1"/>
    <col min="8733" max="8733" width="2.5703125" style="186" customWidth="1"/>
    <col min="8734" max="8734" width="12.42578125" style="186" customWidth="1"/>
    <col min="8735" max="8735" width="13.5703125" style="186" customWidth="1"/>
    <col min="8736" max="8736" width="2.5703125" style="186" customWidth="1"/>
    <col min="8737" max="8737" width="11.5703125" style="186" customWidth="1"/>
    <col min="8738" max="8738" width="13" style="186" customWidth="1"/>
    <col min="8739" max="8739" width="1.42578125" style="186" customWidth="1"/>
    <col min="8740" max="8740" width="10.5703125" style="186" customWidth="1"/>
    <col min="8741" max="8972" width="11" style="186"/>
    <col min="8973" max="8973" width="1.5703125" style="186" customWidth="1"/>
    <col min="8974" max="8974" width="8.5703125" style="186" customWidth="1"/>
    <col min="8975" max="8975" width="28.7109375" style="186" customWidth="1"/>
    <col min="8976" max="8976" width="26.5703125" style="186" customWidth="1"/>
    <col min="8977" max="8977" width="7.7109375" style="186" customWidth="1"/>
    <col min="8978" max="8978" width="19.42578125" style="186" customWidth="1"/>
    <col min="8979" max="8979" width="44.28515625" style="186" customWidth="1"/>
    <col min="8980" max="8980" width="17" style="186" customWidth="1"/>
    <col min="8981" max="8981" width="15.5703125" style="186" customWidth="1"/>
    <col min="8982" max="8982" width="14.140625" style="186" customWidth="1"/>
    <col min="8983" max="8983" width="1.7109375" style="186" customWidth="1"/>
    <col min="8984" max="8984" width="13.7109375" style="186" customWidth="1"/>
    <col min="8985" max="8985" width="13.85546875" style="186" bestFit="1" customWidth="1"/>
    <col min="8986" max="8986" width="2.5703125" style="186" customWidth="1"/>
    <col min="8987" max="8987" width="12.42578125" style="186" customWidth="1"/>
    <col min="8988" max="8988" width="13.5703125" style="186" customWidth="1"/>
    <col min="8989" max="8989" width="2.5703125" style="186" customWidth="1"/>
    <col min="8990" max="8990" width="12.42578125" style="186" customWidth="1"/>
    <col min="8991" max="8991" width="13.5703125" style="186" customWidth="1"/>
    <col min="8992" max="8992" width="2.5703125" style="186" customWidth="1"/>
    <col min="8993" max="8993" width="11.5703125" style="186" customWidth="1"/>
    <col min="8994" max="8994" width="13" style="186" customWidth="1"/>
    <col min="8995" max="8995" width="1.42578125" style="186" customWidth="1"/>
    <col min="8996" max="8996" width="10.5703125" style="186" customWidth="1"/>
    <col min="8997" max="9228" width="11" style="186"/>
    <col min="9229" max="9229" width="1.5703125" style="186" customWidth="1"/>
    <col min="9230" max="9230" width="8.5703125" style="186" customWidth="1"/>
    <col min="9231" max="9231" width="28.7109375" style="186" customWidth="1"/>
    <col min="9232" max="9232" width="26.5703125" style="186" customWidth="1"/>
    <col min="9233" max="9233" width="7.7109375" style="186" customWidth="1"/>
    <col min="9234" max="9234" width="19.42578125" style="186" customWidth="1"/>
    <col min="9235" max="9235" width="44.28515625" style="186" customWidth="1"/>
    <col min="9236" max="9236" width="17" style="186" customWidth="1"/>
    <col min="9237" max="9237" width="15.5703125" style="186" customWidth="1"/>
    <col min="9238" max="9238" width="14.140625" style="186" customWidth="1"/>
    <col min="9239" max="9239" width="1.7109375" style="186" customWidth="1"/>
    <col min="9240" max="9240" width="13.7109375" style="186" customWidth="1"/>
    <col min="9241" max="9241" width="13.85546875" style="186" bestFit="1" customWidth="1"/>
    <col min="9242" max="9242" width="2.5703125" style="186" customWidth="1"/>
    <col min="9243" max="9243" width="12.42578125" style="186" customWidth="1"/>
    <col min="9244" max="9244" width="13.5703125" style="186" customWidth="1"/>
    <col min="9245" max="9245" width="2.5703125" style="186" customWidth="1"/>
    <col min="9246" max="9246" width="12.42578125" style="186" customWidth="1"/>
    <col min="9247" max="9247" width="13.5703125" style="186" customWidth="1"/>
    <col min="9248" max="9248" width="2.5703125" style="186" customWidth="1"/>
    <col min="9249" max="9249" width="11.5703125" style="186" customWidth="1"/>
    <col min="9250" max="9250" width="13" style="186" customWidth="1"/>
    <col min="9251" max="9251" width="1.42578125" style="186" customWidth="1"/>
    <col min="9252" max="9252" width="10.5703125" style="186" customWidth="1"/>
    <col min="9253" max="9484" width="11" style="186"/>
    <col min="9485" max="9485" width="1.5703125" style="186" customWidth="1"/>
    <col min="9486" max="9486" width="8.5703125" style="186" customWidth="1"/>
    <col min="9487" max="9487" width="28.7109375" style="186" customWidth="1"/>
    <col min="9488" max="9488" width="26.5703125" style="186" customWidth="1"/>
    <col min="9489" max="9489" width="7.7109375" style="186" customWidth="1"/>
    <col min="9490" max="9490" width="19.42578125" style="186" customWidth="1"/>
    <col min="9491" max="9491" width="44.28515625" style="186" customWidth="1"/>
    <col min="9492" max="9492" width="17" style="186" customWidth="1"/>
    <col min="9493" max="9493" width="15.5703125" style="186" customWidth="1"/>
    <col min="9494" max="9494" width="14.140625" style="186" customWidth="1"/>
    <col min="9495" max="9495" width="1.7109375" style="186" customWidth="1"/>
    <col min="9496" max="9496" width="13.7109375" style="186" customWidth="1"/>
    <col min="9497" max="9497" width="13.85546875" style="186" bestFit="1" customWidth="1"/>
    <col min="9498" max="9498" width="2.5703125" style="186" customWidth="1"/>
    <col min="9499" max="9499" width="12.42578125" style="186" customWidth="1"/>
    <col min="9500" max="9500" width="13.5703125" style="186" customWidth="1"/>
    <col min="9501" max="9501" width="2.5703125" style="186" customWidth="1"/>
    <col min="9502" max="9502" width="12.42578125" style="186" customWidth="1"/>
    <col min="9503" max="9503" width="13.5703125" style="186" customWidth="1"/>
    <col min="9504" max="9504" width="2.5703125" style="186" customWidth="1"/>
    <col min="9505" max="9505" width="11.5703125" style="186" customWidth="1"/>
    <col min="9506" max="9506" width="13" style="186" customWidth="1"/>
    <col min="9507" max="9507" width="1.42578125" style="186" customWidth="1"/>
    <col min="9508" max="9508" width="10.5703125" style="186" customWidth="1"/>
    <col min="9509" max="9740" width="11" style="186"/>
    <col min="9741" max="9741" width="1.5703125" style="186" customWidth="1"/>
    <col min="9742" max="9742" width="8.5703125" style="186" customWidth="1"/>
    <col min="9743" max="9743" width="28.7109375" style="186" customWidth="1"/>
    <col min="9744" max="9744" width="26.5703125" style="186" customWidth="1"/>
    <col min="9745" max="9745" width="7.7109375" style="186" customWidth="1"/>
    <col min="9746" max="9746" width="19.42578125" style="186" customWidth="1"/>
    <col min="9747" max="9747" width="44.28515625" style="186" customWidth="1"/>
    <col min="9748" max="9748" width="17" style="186" customWidth="1"/>
    <col min="9749" max="9749" width="15.5703125" style="186" customWidth="1"/>
    <col min="9750" max="9750" width="14.140625" style="186" customWidth="1"/>
    <col min="9751" max="9751" width="1.7109375" style="186" customWidth="1"/>
    <col min="9752" max="9752" width="13.7109375" style="186" customWidth="1"/>
    <col min="9753" max="9753" width="13.85546875" style="186" bestFit="1" customWidth="1"/>
    <col min="9754" max="9754" width="2.5703125" style="186" customWidth="1"/>
    <col min="9755" max="9755" width="12.42578125" style="186" customWidth="1"/>
    <col min="9756" max="9756" width="13.5703125" style="186" customWidth="1"/>
    <col min="9757" max="9757" width="2.5703125" style="186" customWidth="1"/>
    <col min="9758" max="9758" width="12.42578125" style="186" customWidth="1"/>
    <col min="9759" max="9759" width="13.5703125" style="186" customWidth="1"/>
    <col min="9760" max="9760" width="2.5703125" style="186" customWidth="1"/>
    <col min="9761" max="9761" width="11.5703125" style="186" customWidth="1"/>
    <col min="9762" max="9762" width="13" style="186" customWidth="1"/>
    <col min="9763" max="9763" width="1.42578125" style="186" customWidth="1"/>
    <col min="9764" max="9764" width="10.5703125" style="186" customWidth="1"/>
    <col min="9765" max="9996" width="11" style="186"/>
    <col min="9997" max="9997" width="1.5703125" style="186" customWidth="1"/>
    <col min="9998" max="9998" width="8.5703125" style="186" customWidth="1"/>
    <col min="9999" max="9999" width="28.7109375" style="186" customWidth="1"/>
    <col min="10000" max="10000" width="26.5703125" style="186" customWidth="1"/>
    <col min="10001" max="10001" width="7.7109375" style="186" customWidth="1"/>
    <col min="10002" max="10002" width="19.42578125" style="186" customWidth="1"/>
    <col min="10003" max="10003" width="44.28515625" style="186" customWidth="1"/>
    <col min="10004" max="10004" width="17" style="186" customWidth="1"/>
    <col min="10005" max="10005" width="15.5703125" style="186" customWidth="1"/>
    <col min="10006" max="10006" width="14.140625" style="186" customWidth="1"/>
    <col min="10007" max="10007" width="1.7109375" style="186" customWidth="1"/>
    <col min="10008" max="10008" width="13.7109375" style="186" customWidth="1"/>
    <col min="10009" max="10009" width="13.85546875" style="186" bestFit="1" customWidth="1"/>
    <col min="10010" max="10010" width="2.5703125" style="186" customWidth="1"/>
    <col min="10011" max="10011" width="12.42578125" style="186" customWidth="1"/>
    <col min="10012" max="10012" width="13.5703125" style="186" customWidth="1"/>
    <col min="10013" max="10013" width="2.5703125" style="186" customWidth="1"/>
    <col min="10014" max="10014" width="12.42578125" style="186" customWidth="1"/>
    <col min="10015" max="10015" width="13.5703125" style="186" customWidth="1"/>
    <col min="10016" max="10016" width="2.5703125" style="186" customWidth="1"/>
    <col min="10017" max="10017" width="11.5703125" style="186" customWidth="1"/>
    <col min="10018" max="10018" width="13" style="186" customWidth="1"/>
    <col min="10019" max="10019" width="1.42578125" style="186" customWidth="1"/>
    <col min="10020" max="10020" width="10.5703125" style="186" customWidth="1"/>
    <col min="10021" max="10252" width="11" style="186"/>
    <col min="10253" max="10253" width="1.5703125" style="186" customWidth="1"/>
    <col min="10254" max="10254" width="8.5703125" style="186" customWidth="1"/>
    <col min="10255" max="10255" width="28.7109375" style="186" customWidth="1"/>
    <col min="10256" max="10256" width="26.5703125" style="186" customWidth="1"/>
    <col min="10257" max="10257" width="7.7109375" style="186" customWidth="1"/>
    <col min="10258" max="10258" width="19.42578125" style="186" customWidth="1"/>
    <col min="10259" max="10259" width="44.28515625" style="186" customWidth="1"/>
    <col min="10260" max="10260" width="17" style="186" customWidth="1"/>
    <col min="10261" max="10261" width="15.5703125" style="186" customWidth="1"/>
    <col min="10262" max="10262" width="14.140625" style="186" customWidth="1"/>
    <col min="10263" max="10263" width="1.7109375" style="186" customWidth="1"/>
    <col min="10264" max="10264" width="13.7109375" style="186" customWidth="1"/>
    <col min="10265" max="10265" width="13.85546875" style="186" bestFit="1" customWidth="1"/>
    <col min="10266" max="10266" width="2.5703125" style="186" customWidth="1"/>
    <col min="10267" max="10267" width="12.42578125" style="186" customWidth="1"/>
    <col min="10268" max="10268" width="13.5703125" style="186" customWidth="1"/>
    <col min="10269" max="10269" width="2.5703125" style="186" customWidth="1"/>
    <col min="10270" max="10270" width="12.42578125" style="186" customWidth="1"/>
    <col min="10271" max="10271" width="13.5703125" style="186" customWidth="1"/>
    <col min="10272" max="10272" width="2.5703125" style="186" customWidth="1"/>
    <col min="10273" max="10273" width="11.5703125" style="186" customWidth="1"/>
    <col min="10274" max="10274" width="13" style="186" customWidth="1"/>
    <col min="10275" max="10275" width="1.42578125" style="186" customWidth="1"/>
    <col min="10276" max="10276" width="10.5703125" style="186" customWidth="1"/>
    <col min="10277" max="10508" width="11" style="186"/>
    <col min="10509" max="10509" width="1.5703125" style="186" customWidth="1"/>
    <col min="10510" max="10510" width="8.5703125" style="186" customWidth="1"/>
    <col min="10511" max="10511" width="28.7109375" style="186" customWidth="1"/>
    <col min="10512" max="10512" width="26.5703125" style="186" customWidth="1"/>
    <col min="10513" max="10513" width="7.7109375" style="186" customWidth="1"/>
    <col min="10514" max="10514" width="19.42578125" style="186" customWidth="1"/>
    <col min="10515" max="10515" width="44.28515625" style="186" customWidth="1"/>
    <col min="10516" max="10516" width="17" style="186" customWidth="1"/>
    <col min="10517" max="10517" width="15.5703125" style="186" customWidth="1"/>
    <col min="10518" max="10518" width="14.140625" style="186" customWidth="1"/>
    <col min="10519" max="10519" width="1.7109375" style="186" customWidth="1"/>
    <col min="10520" max="10520" width="13.7109375" style="186" customWidth="1"/>
    <col min="10521" max="10521" width="13.85546875" style="186" bestFit="1" customWidth="1"/>
    <col min="10522" max="10522" width="2.5703125" style="186" customWidth="1"/>
    <col min="10523" max="10523" width="12.42578125" style="186" customWidth="1"/>
    <col min="10524" max="10524" width="13.5703125" style="186" customWidth="1"/>
    <col min="10525" max="10525" width="2.5703125" style="186" customWidth="1"/>
    <col min="10526" max="10526" width="12.42578125" style="186" customWidth="1"/>
    <col min="10527" max="10527" width="13.5703125" style="186" customWidth="1"/>
    <col min="10528" max="10528" width="2.5703125" style="186" customWidth="1"/>
    <col min="10529" max="10529" width="11.5703125" style="186" customWidth="1"/>
    <col min="10530" max="10530" width="13" style="186" customWidth="1"/>
    <col min="10531" max="10531" width="1.42578125" style="186" customWidth="1"/>
    <col min="10532" max="10532" width="10.5703125" style="186" customWidth="1"/>
    <col min="10533" max="10764" width="11" style="186"/>
    <col min="10765" max="10765" width="1.5703125" style="186" customWidth="1"/>
    <col min="10766" max="10766" width="8.5703125" style="186" customWidth="1"/>
    <col min="10767" max="10767" width="28.7109375" style="186" customWidth="1"/>
    <col min="10768" max="10768" width="26.5703125" style="186" customWidth="1"/>
    <col min="10769" max="10769" width="7.7109375" style="186" customWidth="1"/>
    <col min="10770" max="10770" width="19.42578125" style="186" customWidth="1"/>
    <col min="10771" max="10771" width="44.28515625" style="186" customWidth="1"/>
    <col min="10772" max="10772" width="17" style="186" customWidth="1"/>
    <col min="10773" max="10773" width="15.5703125" style="186" customWidth="1"/>
    <col min="10774" max="10774" width="14.140625" style="186" customWidth="1"/>
    <col min="10775" max="10775" width="1.7109375" style="186" customWidth="1"/>
    <col min="10776" max="10776" width="13.7109375" style="186" customWidth="1"/>
    <col min="10777" max="10777" width="13.85546875" style="186" bestFit="1" customWidth="1"/>
    <col min="10778" max="10778" width="2.5703125" style="186" customWidth="1"/>
    <col min="10779" max="10779" width="12.42578125" style="186" customWidth="1"/>
    <col min="10780" max="10780" width="13.5703125" style="186" customWidth="1"/>
    <col min="10781" max="10781" width="2.5703125" style="186" customWidth="1"/>
    <col min="10782" max="10782" width="12.42578125" style="186" customWidth="1"/>
    <col min="10783" max="10783" width="13.5703125" style="186" customWidth="1"/>
    <col min="10784" max="10784" width="2.5703125" style="186" customWidth="1"/>
    <col min="10785" max="10785" width="11.5703125" style="186" customWidth="1"/>
    <col min="10786" max="10786" width="13" style="186" customWidth="1"/>
    <col min="10787" max="10787" width="1.42578125" style="186" customWidth="1"/>
    <col min="10788" max="10788" width="10.5703125" style="186" customWidth="1"/>
    <col min="10789" max="11020" width="11" style="186"/>
    <col min="11021" max="11021" width="1.5703125" style="186" customWidth="1"/>
    <col min="11022" max="11022" width="8.5703125" style="186" customWidth="1"/>
    <col min="11023" max="11023" width="28.7109375" style="186" customWidth="1"/>
    <col min="11024" max="11024" width="26.5703125" style="186" customWidth="1"/>
    <col min="11025" max="11025" width="7.7109375" style="186" customWidth="1"/>
    <col min="11026" max="11026" width="19.42578125" style="186" customWidth="1"/>
    <col min="11027" max="11027" width="44.28515625" style="186" customWidth="1"/>
    <col min="11028" max="11028" width="17" style="186" customWidth="1"/>
    <col min="11029" max="11029" width="15.5703125" style="186" customWidth="1"/>
    <col min="11030" max="11030" width="14.140625" style="186" customWidth="1"/>
    <col min="11031" max="11031" width="1.7109375" style="186" customWidth="1"/>
    <col min="11032" max="11032" width="13.7109375" style="186" customWidth="1"/>
    <col min="11033" max="11033" width="13.85546875" style="186" bestFit="1" customWidth="1"/>
    <col min="11034" max="11034" width="2.5703125" style="186" customWidth="1"/>
    <col min="11035" max="11035" width="12.42578125" style="186" customWidth="1"/>
    <col min="11036" max="11036" width="13.5703125" style="186" customWidth="1"/>
    <col min="11037" max="11037" width="2.5703125" style="186" customWidth="1"/>
    <col min="11038" max="11038" width="12.42578125" style="186" customWidth="1"/>
    <col min="11039" max="11039" width="13.5703125" style="186" customWidth="1"/>
    <col min="11040" max="11040" width="2.5703125" style="186" customWidth="1"/>
    <col min="11041" max="11041" width="11.5703125" style="186" customWidth="1"/>
    <col min="11042" max="11042" width="13" style="186" customWidth="1"/>
    <col min="11043" max="11043" width="1.42578125" style="186" customWidth="1"/>
    <col min="11044" max="11044" width="10.5703125" style="186" customWidth="1"/>
    <col min="11045" max="11276" width="11" style="186"/>
    <col min="11277" max="11277" width="1.5703125" style="186" customWidth="1"/>
    <col min="11278" max="11278" width="8.5703125" style="186" customWidth="1"/>
    <col min="11279" max="11279" width="28.7109375" style="186" customWidth="1"/>
    <col min="11280" max="11280" width="26.5703125" style="186" customWidth="1"/>
    <col min="11281" max="11281" width="7.7109375" style="186" customWidth="1"/>
    <col min="11282" max="11282" width="19.42578125" style="186" customWidth="1"/>
    <col min="11283" max="11283" width="44.28515625" style="186" customWidth="1"/>
    <col min="11284" max="11284" width="17" style="186" customWidth="1"/>
    <col min="11285" max="11285" width="15.5703125" style="186" customWidth="1"/>
    <col min="11286" max="11286" width="14.140625" style="186" customWidth="1"/>
    <col min="11287" max="11287" width="1.7109375" style="186" customWidth="1"/>
    <col min="11288" max="11288" width="13.7109375" style="186" customWidth="1"/>
    <col min="11289" max="11289" width="13.85546875" style="186" bestFit="1" customWidth="1"/>
    <col min="11290" max="11290" width="2.5703125" style="186" customWidth="1"/>
    <col min="11291" max="11291" width="12.42578125" style="186" customWidth="1"/>
    <col min="11292" max="11292" width="13.5703125" style="186" customWidth="1"/>
    <col min="11293" max="11293" width="2.5703125" style="186" customWidth="1"/>
    <col min="11294" max="11294" width="12.42578125" style="186" customWidth="1"/>
    <col min="11295" max="11295" width="13.5703125" style="186" customWidth="1"/>
    <col min="11296" max="11296" width="2.5703125" style="186" customWidth="1"/>
    <col min="11297" max="11297" width="11.5703125" style="186" customWidth="1"/>
    <col min="11298" max="11298" width="13" style="186" customWidth="1"/>
    <col min="11299" max="11299" width="1.42578125" style="186" customWidth="1"/>
    <col min="11300" max="11300" width="10.5703125" style="186" customWidth="1"/>
    <col min="11301" max="11532" width="11" style="186"/>
    <col min="11533" max="11533" width="1.5703125" style="186" customWidth="1"/>
    <col min="11534" max="11534" width="8.5703125" style="186" customWidth="1"/>
    <col min="11535" max="11535" width="28.7109375" style="186" customWidth="1"/>
    <col min="11536" max="11536" width="26.5703125" style="186" customWidth="1"/>
    <col min="11537" max="11537" width="7.7109375" style="186" customWidth="1"/>
    <col min="11538" max="11538" width="19.42578125" style="186" customWidth="1"/>
    <col min="11539" max="11539" width="44.28515625" style="186" customWidth="1"/>
    <col min="11540" max="11540" width="17" style="186" customWidth="1"/>
    <col min="11541" max="11541" width="15.5703125" style="186" customWidth="1"/>
    <col min="11542" max="11542" width="14.140625" style="186" customWidth="1"/>
    <col min="11543" max="11543" width="1.7109375" style="186" customWidth="1"/>
    <col min="11544" max="11544" width="13.7109375" style="186" customWidth="1"/>
    <col min="11545" max="11545" width="13.85546875" style="186" bestFit="1" customWidth="1"/>
    <col min="11546" max="11546" width="2.5703125" style="186" customWidth="1"/>
    <col min="11547" max="11547" width="12.42578125" style="186" customWidth="1"/>
    <col min="11548" max="11548" width="13.5703125" style="186" customWidth="1"/>
    <col min="11549" max="11549" width="2.5703125" style="186" customWidth="1"/>
    <col min="11550" max="11550" width="12.42578125" style="186" customWidth="1"/>
    <col min="11551" max="11551" width="13.5703125" style="186" customWidth="1"/>
    <col min="11552" max="11552" width="2.5703125" style="186" customWidth="1"/>
    <col min="11553" max="11553" width="11.5703125" style="186" customWidth="1"/>
    <col min="11554" max="11554" width="13" style="186" customWidth="1"/>
    <col min="11555" max="11555" width="1.42578125" style="186" customWidth="1"/>
    <col min="11556" max="11556" width="10.5703125" style="186" customWidth="1"/>
    <col min="11557" max="11788" width="11" style="186"/>
    <col min="11789" max="11789" width="1.5703125" style="186" customWidth="1"/>
    <col min="11790" max="11790" width="8.5703125" style="186" customWidth="1"/>
    <col min="11791" max="11791" width="28.7109375" style="186" customWidth="1"/>
    <col min="11792" max="11792" width="26.5703125" style="186" customWidth="1"/>
    <col min="11793" max="11793" width="7.7109375" style="186" customWidth="1"/>
    <col min="11794" max="11794" width="19.42578125" style="186" customWidth="1"/>
    <col min="11795" max="11795" width="44.28515625" style="186" customWidth="1"/>
    <col min="11796" max="11796" width="17" style="186" customWidth="1"/>
    <col min="11797" max="11797" width="15.5703125" style="186" customWidth="1"/>
    <col min="11798" max="11798" width="14.140625" style="186" customWidth="1"/>
    <col min="11799" max="11799" width="1.7109375" style="186" customWidth="1"/>
    <col min="11800" max="11800" width="13.7109375" style="186" customWidth="1"/>
    <col min="11801" max="11801" width="13.85546875" style="186" bestFit="1" customWidth="1"/>
    <col min="11802" max="11802" width="2.5703125" style="186" customWidth="1"/>
    <col min="11803" max="11803" width="12.42578125" style="186" customWidth="1"/>
    <col min="11804" max="11804" width="13.5703125" style="186" customWidth="1"/>
    <col min="11805" max="11805" width="2.5703125" style="186" customWidth="1"/>
    <col min="11806" max="11806" width="12.42578125" style="186" customWidth="1"/>
    <col min="11807" max="11807" width="13.5703125" style="186" customWidth="1"/>
    <col min="11808" max="11808" width="2.5703125" style="186" customWidth="1"/>
    <col min="11809" max="11809" width="11.5703125" style="186" customWidth="1"/>
    <col min="11810" max="11810" width="13" style="186" customWidth="1"/>
    <col min="11811" max="11811" width="1.42578125" style="186" customWidth="1"/>
    <col min="11812" max="11812" width="10.5703125" style="186" customWidth="1"/>
    <col min="11813" max="12044" width="11" style="186"/>
    <col min="12045" max="12045" width="1.5703125" style="186" customWidth="1"/>
    <col min="12046" max="12046" width="8.5703125" style="186" customWidth="1"/>
    <col min="12047" max="12047" width="28.7109375" style="186" customWidth="1"/>
    <col min="12048" max="12048" width="26.5703125" style="186" customWidth="1"/>
    <col min="12049" max="12049" width="7.7109375" style="186" customWidth="1"/>
    <col min="12050" max="12050" width="19.42578125" style="186" customWidth="1"/>
    <col min="12051" max="12051" width="44.28515625" style="186" customWidth="1"/>
    <col min="12052" max="12052" width="17" style="186" customWidth="1"/>
    <col min="12053" max="12053" width="15.5703125" style="186" customWidth="1"/>
    <col min="12054" max="12054" width="14.140625" style="186" customWidth="1"/>
    <col min="12055" max="12055" width="1.7109375" style="186" customWidth="1"/>
    <col min="12056" max="12056" width="13.7109375" style="186" customWidth="1"/>
    <col min="12057" max="12057" width="13.85546875" style="186" bestFit="1" customWidth="1"/>
    <col min="12058" max="12058" width="2.5703125" style="186" customWidth="1"/>
    <col min="12059" max="12059" width="12.42578125" style="186" customWidth="1"/>
    <col min="12060" max="12060" width="13.5703125" style="186" customWidth="1"/>
    <col min="12061" max="12061" width="2.5703125" style="186" customWidth="1"/>
    <col min="12062" max="12062" width="12.42578125" style="186" customWidth="1"/>
    <col min="12063" max="12063" width="13.5703125" style="186" customWidth="1"/>
    <col min="12064" max="12064" width="2.5703125" style="186" customWidth="1"/>
    <col min="12065" max="12065" width="11.5703125" style="186" customWidth="1"/>
    <col min="12066" max="12066" width="13" style="186" customWidth="1"/>
    <col min="12067" max="12067" width="1.42578125" style="186" customWidth="1"/>
    <col min="12068" max="12068" width="10.5703125" style="186" customWidth="1"/>
    <col min="12069" max="12300" width="11" style="186"/>
    <col min="12301" max="12301" width="1.5703125" style="186" customWidth="1"/>
    <col min="12302" max="12302" width="8.5703125" style="186" customWidth="1"/>
    <col min="12303" max="12303" width="28.7109375" style="186" customWidth="1"/>
    <col min="12304" max="12304" width="26.5703125" style="186" customWidth="1"/>
    <col min="12305" max="12305" width="7.7109375" style="186" customWidth="1"/>
    <col min="12306" max="12306" width="19.42578125" style="186" customWidth="1"/>
    <col min="12307" max="12307" width="44.28515625" style="186" customWidth="1"/>
    <col min="12308" max="12308" width="17" style="186" customWidth="1"/>
    <col min="12309" max="12309" width="15.5703125" style="186" customWidth="1"/>
    <col min="12310" max="12310" width="14.140625" style="186" customWidth="1"/>
    <col min="12311" max="12311" width="1.7109375" style="186" customWidth="1"/>
    <col min="12312" max="12312" width="13.7109375" style="186" customWidth="1"/>
    <col min="12313" max="12313" width="13.85546875" style="186" bestFit="1" customWidth="1"/>
    <col min="12314" max="12314" width="2.5703125" style="186" customWidth="1"/>
    <col min="12315" max="12315" width="12.42578125" style="186" customWidth="1"/>
    <col min="12316" max="12316" width="13.5703125" style="186" customWidth="1"/>
    <col min="12317" max="12317" width="2.5703125" style="186" customWidth="1"/>
    <col min="12318" max="12318" width="12.42578125" style="186" customWidth="1"/>
    <col min="12319" max="12319" width="13.5703125" style="186" customWidth="1"/>
    <col min="12320" max="12320" width="2.5703125" style="186" customWidth="1"/>
    <col min="12321" max="12321" width="11.5703125" style="186" customWidth="1"/>
    <col min="12322" max="12322" width="13" style="186" customWidth="1"/>
    <col min="12323" max="12323" width="1.42578125" style="186" customWidth="1"/>
    <col min="12324" max="12324" width="10.5703125" style="186" customWidth="1"/>
    <col min="12325" max="12556" width="11" style="186"/>
    <col min="12557" max="12557" width="1.5703125" style="186" customWidth="1"/>
    <col min="12558" max="12558" width="8.5703125" style="186" customWidth="1"/>
    <col min="12559" max="12559" width="28.7109375" style="186" customWidth="1"/>
    <col min="12560" max="12560" width="26.5703125" style="186" customWidth="1"/>
    <col min="12561" max="12561" width="7.7109375" style="186" customWidth="1"/>
    <col min="12562" max="12562" width="19.42578125" style="186" customWidth="1"/>
    <col min="12563" max="12563" width="44.28515625" style="186" customWidth="1"/>
    <col min="12564" max="12564" width="17" style="186" customWidth="1"/>
    <col min="12565" max="12565" width="15.5703125" style="186" customWidth="1"/>
    <col min="12566" max="12566" width="14.140625" style="186" customWidth="1"/>
    <col min="12567" max="12567" width="1.7109375" style="186" customWidth="1"/>
    <col min="12568" max="12568" width="13.7109375" style="186" customWidth="1"/>
    <col min="12569" max="12569" width="13.85546875" style="186" bestFit="1" customWidth="1"/>
    <col min="12570" max="12570" width="2.5703125" style="186" customWidth="1"/>
    <col min="12571" max="12571" width="12.42578125" style="186" customWidth="1"/>
    <col min="12572" max="12572" width="13.5703125" style="186" customWidth="1"/>
    <col min="12573" max="12573" width="2.5703125" style="186" customWidth="1"/>
    <col min="12574" max="12574" width="12.42578125" style="186" customWidth="1"/>
    <col min="12575" max="12575" width="13.5703125" style="186" customWidth="1"/>
    <col min="12576" max="12576" width="2.5703125" style="186" customWidth="1"/>
    <col min="12577" max="12577" width="11.5703125" style="186" customWidth="1"/>
    <col min="12578" max="12578" width="13" style="186" customWidth="1"/>
    <col min="12579" max="12579" width="1.42578125" style="186" customWidth="1"/>
    <col min="12580" max="12580" width="10.5703125" style="186" customWidth="1"/>
    <col min="12581" max="12812" width="11" style="186"/>
    <col min="12813" max="12813" width="1.5703125" style="186" customWidth="1"/>
    <col min="12814" max="12814" width="8.5703125" style="186" customWidth="1"/>
    <col min="12815" max="12815" width="28.7109375" style="186" customWidth="1"/>
    <col min="12816" max="12816" width="26.5703125" style="186" customWidth="1"/>
    <col min="12817" max="12817" width="7.7109375" style="186" customWidth="1"/>
    <col min="12818" max="12818" width="19.42578125" style="186" customWidth="1"/>
    <col min="12819" max="12819" width="44.28515625" style="186" customWidth="1"/>
    <col min="12820" max="12820" width="17" style="186" customWidth="1"/>
    <col min="12821" max="12821" width="15.5703125" style="186" customWidth="1"/>
    <col min="12822" max="12822" width="14.140625" style="186" customWidth="1"/>
    <col min="12823" max="12823" width="1.7109375" style="186" customWidth="1"/>
    <col min="12824" max="12824" width="13.7109375" style="186" customWidth="1"/>
    <col min="12825" max="12825" width="13.85546875" style="186" bestFit="1" customWidth="1"/>
    <col min="12826" max="12826" width="2.5703125" style="186" customWidth="1"/>
    <col min="12827" max="12827" width="12.42578125" style="186" customWidth="1"/>
    <col min="12828" max="12828" width="13.5703125" style="186" customWidth="1"/>
    <col min="12829" max="12829" width="2.5703125" style="186" customWidth="1"/>
    <col min="12830" max="12830" width="12.42578125" style="186" customWidth="1"/>
    <col min="12831" max="12831" width="13.5703125" style="186" customWidth="1"/>
    <col min="12832" max="12832" width="2.5703125" style="186" customWidth="1"/>
    <col min="12833" max="12833" width="11.5703125" style="186" customWidth="1"/>
    <col min="12834" max="12834" width="13" style="186" customWidth="1"/>
    <col min="12835" max="12835" width="1.42578125" style="186" customWidth="1"/>
    <col min="12836" max="12836" width="10.5703125" style="186" customWidth="1"/>
    <col min="12837" max="13068" width="11" style="186"/>
    <col min="13069" max="13069" width="1.5703125" style="186" customWidth="1"/>
    <col min="13070" max="13070" width="8.5703125" style="186" customWidth="1"/>
    <col min="13071" max="13071" width="28.7109375" style="186" customWidth="1"/>
    <col min="13072" max="13072" width="26.5703125" style="186" customWidth="1"/>
    <col min="13073" max="13073" width="7.7109375" style="186" customWidth="1"/>
    <col min="13074" max="13074" width="19.42578125" style="186" customWidth="1"/>
    <col min="13075" max="13075" width="44.28515625" style="186" customWidth="1"/>
    <col min="13076" max="13076" width="17" style="186" customWidth="1"/>
    <col min="13077" max="13077" width="15.5703125" style="186" customWidth="1"/>
    <col min="13078" max="13078" width="14.140625" style="186" customWidth="1"/>
    <col min="13079" max="13079" width="1.7109375" style="186" customWidth="1"/>
    <col min="13080" max="13080" width="13.7109375" style="186" customWidth="1"/>
    <col min="13081" max="13081" width="13.85546875" style="186" bestFit="1" customWidth="1"/>
    <col min="13082" max="13082" width="2.5703125" style="186" customWidth="1"/>
    <col min="13083" max="13083" width="12.42578125" style="186" customWidth="1"/>
    <col min="13084" max="13084" width="13.5703125" style="186" customWidth="1"/>
    <col min="13085" max="13085" width="2.5703125" style="186" customWidth="1"/>
    <col min="13086" max="13086" width="12.42578125" style="186" customWidth="1"/>
    <col min="13087" max="13087" width="13.5703125" style="186" customWidth="1"/>
    <col min="13088" max="13088" width="2.5703125" style="186" customWidth="1"/>
    <col min="13089" max="13089" width="11.5703125" style="186" customWidth="1"/>
    <col min="13090" max="13090" width="13" style="186" customWidth="1"/>
    <col min="13091" max="13091" width="1.42578125" style="186" customWidth="1"/>
    <col min="13092" max="13092" width="10.5703125" style="186" customWidth="1"/>
    <col min="13093" max="13324" width="11" style="186"/>
    <col min="13325" max="13325" width="1.5703125" style="186" customWidth="1"/>
    <col min="13326" max="13326" width="8.5703125" style="186" customWidth="1"/>
    <col min="13327" max="13327" width="28.7109375" style="186" customWidth="1"/>
    <col min="13328" max="13328" width="26.5703125" style="186" customWidth="1"/>
    <col min="13329" max="13329" width="7.7109375" style="186" customWidth="1"/>
    <col min="13330" max="13330" width="19.42578125" style="186" customWidth="1"/>
    <col min="13331" max="13331" width="44.28515625" style="186" customWidth="1"/>
    <col min="13332" max="13332" width="17" style="186" customWidth="1"/>
    <col min="13333" max="13333" width="15.5703125" style="186" customWidth="1"/>
    <col min="13334" max="13334" width="14.140625" style="186" customWidth="1"/>
    <col min="13335" max="13335" width="1.7109375" style="186" customWidth="1"/>
    <col min="13336" max="13336" width="13.7109375" style="186" customWidth="1"/>
    <col min="13337" max="13337" width="13.85546875" style="186" bestFit="1" customWidth="1"/>
    <col min="13338" max="13338" width="2.5703125" style="186" customWidth="1"/>
    <col min="13339" max="13339" width="12.42578125" style="186" customWidth="1"/>
    <col min="13340" max="13340" width="13.5703125" style="186" customWidth="1"/>
    <col min="13341" max="13341" width="2.5703125" style="186" customWidth="1"/>
    <col min="13342" max="13342" width="12.42578125" style="186" customWidth="1"/>
    <col min="13343" max="13343" width="13.5703125" style="186" customWidth="1"/>
    <col min="13344" max="13344" width="2.5703125" style="186" customWidth="1"/>
    <col min="13345" max="13345" width="11.5703125" style="186" customWidth="1"/>
    <col min="13346" max="13346" width="13" style="186" customWidth="1"/>
    <col min="13347" max="13347" width="1.42578125" style="186" customWidth="1"/>
    <col min="13348" max="13348" width="10.5703125" style="186" customWidth="1"/>
    <col min="13349" max="13580" width="11" style="186"/>
    <col min="13581" max="13581" width="1.5703125" style="186" customWidth="1"/>
    <col min="13582" max="13582" width="8.5703125" style="186" customWidth="1"/>
    <col min="13583" max="13583" width="28.7109375" style="186" customWidth="1"/>
    <col min="13584" max="13584" width="26.5703125" style="186" customWidth="1"/>
    <col min="13585" max="13585" width="7.7109375" style="186" customWidth="1"/>
    <col min="13586" max="13586" width="19.42578125" style="186" customWidth="1"/>
    <col min="13587" max="13587" width="44.28515625" style="186" customWidth="1"/>
    <col min="13588" max="13588" width="17" style="186" customWidth="1"/>
    <col min="13589" max="13589" width="15.5703125" style="186" customWidth="1"/>
    <col min="13590" max="13590" width="14.140625" style="186" customWidth="1"/>
    <col min="13591" max="13591" width="1.7109375" style="186" customWidth="1"/>
    <col min="13592" max="13592" width="13.7109375" style="186" customWidth="1"/>
    <col min="13593" max="13593" width="13.85546875" style="186" bestFit="1" customWidth="1"/>
    <col min="13594" max="13594" width="2.5703125" style="186" customWidth="1"/>
    <col min="13595" max="13595" width="12.42578125" style="186" customWidth="1"/>
    <col min="13596" max="13596" width="13.5703125" style="186" customWidth="1"/>
    <col min="13597" max="13597" width="2.5703125" style="186" customWidth="1"/>
    <col min="13598" max="13598" width="12.42578125" style="186" customWidth="1"/>
    <col min="13599" max="13599" width="13.5703125" style="186" customWidth="1"/>
    <col min="13600" max="13600" width="2.5703125" style="186" customWidth="1"/>
    <col min="13601" max="13601" width="11.5703125" style="186" customWidth="1"/>
    <col min="13602" max="13602" width="13" style="186" customWidth="1"/>
    <col min="13603" max="13603" width="1.42578125" style="186" customWidth="1"/>
    <col min="13604" max="13604" width="10.5703125" style="186" customWidth="1"/>
    <col min="13605" max="13836" width="11" style="186"/>
    <col min="13837" max="13837" width="1.5703125" style="186" customWidth="1"/>
    <col min="13838" max="13838" width="8.5703125" style="186" customWidth="1"/>
    <col min="13839" max="13839" width="28.7109375" style="186" customWidth="1"/>
    <col min="13840" max="13840" width="26.5703125" style="186" customWidth="1"/>
    <col min="13841" max="13841" width="7.7109375" style="186" customWidth="1"/>
    <col min="13842" max="13842" width="19.42578125" style="186" customWidth="1"/>
    <col min="13843" max="13843" width="44.28515625" style="186" customWidth="1"/>
    <col min="13844" max="13844" width="17" style="186" customWidth="1"/>
    <col min="13845" max="13845" width="15.5703125" style="186" customWidth="1"/>
    <col min="13846" max="13846" width="14.140625" style="186" customWidth="1"/>
    <col min="13847" max="13847" width="1.7109375" style="186" customWidth="1"/>
    <col min="13848" max="13848" width="13.7109375" style="186" customWidth="1"/>
    <col min="13849" max="13849" width="13.85546875" style="186" bestFit="1" customWidth="1"/>
    <col min="13850" max="13850" width="2.5703125" style="186" customWidth="1"/>
    <col min="13851" max="13851" width="12.42578125" style="186" customWidth="1"/>
    <col min="13852" max="13852" width="13.5703125" style="186" customWidth="1"/>
    <col min="13853" max="13853" width="2.5703125" style="186" customWidth="1"/>
    <col min="13854" max="13854" width="12.42578125" style="186" customWidth="1"/>
    <col min="13855" max="13855" width="13.5703125" style="186" customWidth="1"/>
    <col min="13856" max="13856" width="2.5703125" style="186" customWidth="1"/>
    <col min="13857" max="13857" width="11.5703125" style="186" customWidth="1"/>
    <col min="13858" max="13858" width="13" style="186" customWidth="1"/>
    <col min="13859" max="13859" width="1.42578125" style="186" customWidth="1"/>
    <col min="13860" max="13860" width="10.5703125" style="186" customWidth="1"/>
    <col min="13861" max="14092" width="11" style="186"/>
    <col min="14093" max="14093" width="1.5703125" style="186" customWidth="1"/>
    <col min="14094" max="14094" width="8.5703125" style="186" customWidth="1"/>
    <col min="14095" max="14095" width="28.7109375" style="186" customWidth="1"/>
    <col min="14096" max="14096" width="26.5703125" style="186" customWidth="1"/>
    <col min="14097" max="14097" width="7.7109375" style="186" customWidth="1"/>
    <col min="14098" max="14098" width="19.42578125" style="186" customWidth="1"/>
    <col min="14099" max="14099" width="44.28515625" style="186" customWidth="1"/>
    <col min="14100" max="14100" width="17" style="186" customWidth="1"/>
    <col min="14101" max="14101" width="15.5703125" style="186" customWidth="1"/>
    <col min="14102" max="14102" width="14.140625" style="186" customWidth="1"/>
    <col min="14103" max="14103" width="1.7109375" style="186" customWidth="1"/>
    <col min="14104" max="14104" width="13.7109375" style="186" customWidth="1"/>
    <col min="14105" max="14105" width="13.85546875" style="186" bestFit="1" customWidth="1"/>
    <col min="14106" max="14106" width="2.5703125" style="186" customWidth="1"/>
    <col min="14107" max="14107" width="12.42578125" style="186" customWidth="1"/>
    <col min="14108" max="14108" width="13.5703125" style="186" customWidth="1"/>
    <col min="14109" max="14109" width="2.5703125" style="186" customWidth="1"/>
    <col min="14110" max="14110" width="12.42578125" style="186" customWidth="1"/>
    <col min="14111" max="14111" width="13.5703125" style="186" customWidth="1"/>
    <col min="14112" max="14112" width="2.5703125" style="186" customWidth="1"/>
    <col min="14113" max="14113" width="11.5703125" style="186" customWidth="1"/>
    <col min="14114" max="14114" width="13" style="186" customWidth="1"/>
    <col min="14115" max="14115" width="1.42578125" style="186" customWidth="1"/>
    <col min="14116" max="14116" width="10.5703125" style="186" customWidth="1"/>
    <col min="14117" max="14348" width="11" style="186"/>
    <col min="14349" max="14349" width="1.5703125" style="186" customWidth="1"/>
    <col min="14350" max="14350" width="8.5703125" style="186" customWidth="1"/>
    <col min="14351" max="14351" width="28.7109375" style="186" customWidth="1"/>
    <col min="14352" max="14352" width="26.5703125" style="186" customWidth="1"/>
    <col min="14353" max="14353" width="7.7109375" style="186" customWidth="1"/>
    <col min="14354" max="14354" width="19.42578125" style="186" customWidth="1"/>
    <col min="14355" max="14355" width="44.28515625" style="186" customWidth="1"/>
    <col min="14356" max="14356" width="17" style="186" customWidth="1"/>
    <col min="14357" max="14357" width="15.5703125" style="186" customWidth="1"/>
    <col min="14358" max="14358" width="14.140625" style="186" customWidth="1"/>
    <col min="14359" max="14359" width="1.7109375" style="186" customWidth="1"/>
    <col min="14360" max="14360" width="13.7109375" style="186" customWidth="1"/>
    <col min="14361" max="14361" width="13.85546875" style="186" bestFit="1" customWidth="1"/>
    <col min="14362" max="14362" width="2.5703125" style="186" customWidth="1"/>
    <col min="14363" max="14363" width="12.42578125" style="186" customWidth="1"/>
    <col min="14364" max="14364" width="13.5703125" style="186" customWidth="1"/>
    <col min="14365" max="14365" width="2.5703125" style="186" customWidth="1"/>
    <col min="14366" max="14366" width="12.42578125" style="186" customWidth="1"/>
    <col min="14367" max="14367" width="13.5703125" style="186" customWidth="1"/>
    <col min="14368" max="14368" width="2.5703125" style="186" customWidth="1"/>
    <col min="14369" max="14369" width="11.5703125" style="186" customWidth="1"/>
    <col min="14370" max="14370" width="13" style="186" customWidth="1"/>
    <col min="14371" max="14371" width="1.42578125" style="186" customWidth="1"/>
    <col min="14372" max="14372" width="10.5703125" style="186" customWidth="1"/>
    <col min="14373" max="14604" width="11" style="186"/>
    <col min="14605" max="14605" width="1.5703125" style="186" customWidth="1"/>
    <col min="14606" max="14606" width="8.5703125" style="186" customWidth="1"/>
    <col min="14607" max="14607" width="28.7109375" style="186" customWidth="1"/>
    <col min="14608" max="14608" width="26.5703125" style="186" customWidth="1"/>
    <col min="14609" max="14609" width="7.7109375" style="186" customWidth="1"/>
    <col min="14610" max="14610" width="19.42578125" style="186" customWidth="1"/>
    <col min="14611" max="14611" width="44.28515625" style="186" customWidth="1"/>
    <col min="14612" max="14612" width="17" style="186" customWidth="1"/>
    <col min="14613" max="14613" width="15.5703125" style="186" customWidth="1"/>
    <col min="14614" max="14614" width="14.140625" style="186" customWidth="1"/>
    <col min="14615" max="14615" width="1.7109375" style="186" customWidth="1"/>
    <col min="14616" max="14616" width="13.7109375" style="186" customWidth="1"/>
    <col min="14617" max="14617" width="13.85546875" style="186" bestFit="1" customWidth="1"/>
    <col min="14618" max="14618" width="2.5703125" style="186" customWidth="1"/>
    <col min="14619" max="14619" width="12.42578125" style="186" customWidth="1"/>
    <col min="14620" max="14620" width="13.5703125" style="186" customWidth="1"/>
    <col min="14621" max="14621" width="2.5703125" style="186" customWidth="1"/>
    <col min="14622" max="14622" width="12.42578125" style="186" customWidth="1"/>
    <col min="14623" max="14623" width="13.5703125" style="186" customWidth="1"/>
    <col min="14624" max="14624" width="2.5703125" style="186" customWidth="1"/>
    <col min="14625" max="14625" width="11.5703125" style="186" customWidth="1"/>
    <col min="14626" max="14626" width="13" style="186" customWidth="1"/>
    <col min="14627" max="14627" width="1.42578125" style="186" customWidth="1"/>
    <col min="14628" max="14628" width="10.5703125" style="186" customWidth="1"/>
    <col min="14629" max="14860" width="11" style="186"/>
    <col min="14861" max="14861" width="1.5703125" style="186" customWidth="1"/>
    <col min="14862" max="14862" width="8.5703125" style="186" customWidth="1"/>
    <col min="14863" max="14863" width="28.7109375" style="186" customWidth="1"/>
    <col min="14864" max="14864" width="26.5703125" style="186" customWidth="1"/>
    <col min="14865" max="14865" width="7.7109375" style="186" customWidth="1"/>
    <col min="14866" max="14866" width="19.42578125" style="186" customWidth="1"/>
    <col min="14867" max="14867" width="44.28515625" style="186" customWidth="1"/>
    <col min="14868" max="14868" width="17" style="186" customWidth="1"/>
    <col min="14869" max="14869" width="15.5703125" style="186" customWidth="1"/>
    <col min="14870" max="14870" width="14.140625" style="186" customWidth="1"/>
    <col min="14871" max="14871" width="1.7109375" style="186" customWidth="1"/>
    <col min="14872" max="14872" width="13.7109375" style="186" customWidth="1"/>
    <col min="14873" max="14873" width="13.85546875" style="186" bestFit="1" customWidth="1"/>
    <col min="14874" max="14874" width="2.5703125" style="186" customWidth="1"/>
    <col min="14875" max="14875" width="12.42578125" style="186" customWidth="1"/>
    <col min="14876" max="14876" width="13.5703125" style="186" customWidth="1"/>
    <col min="14877" max="14877" width="2.5703125" style="186" customWidth="1"/>
    <col min="14878" max="14878" width="12.42578125" style="186" customWidth="1"/>
    <col min="14879" max="14879" width="13.5703125" style="186" customWidth="1"/>
    <col min="14880" max="14880" width="2.5703125" style="186" customWidth="1"/>
    <col min="14881" max="14881" width="11.5703125" style="186" customWidth="1"/>
    <col min="14882" max="14882" width="13" style="186" customWidth="1"/>
    <col min="14883" max="14883" width="1.42578125" style="186" customWidth="1"/>
    <col min="14884" max="14884" width="10.5703125" style="186" customWidth="1"/>
    <col min="14885" max="15116" width="11" style="186"/>
    <col min="15117" max="15117" width="1.5703125" style="186" customWidth="1"/>
    <col min="15118" max="15118" width="8.5703125" style="186" customWidth="1"/>
    <col min="15119" max="15119" width="28.7109375" style="186" customWidth="1"/>
    <col min="15120" max="15120" width="26.5703125" style="186" customWidth="1"/>
    <col min="15121" max="15121" width="7.7109375" style="186" customWidth="1"/>
    <col min="15122" max="15122" width="19.42578125" style="186" customWidth="1"/>
    <col min="15123" max="15123" width="44.28515625" style="186" customWidth="1"/>
    <col min="15124" max="15124" width="17" style="186" customWidth="1"/>
    <col min="15125" max="15125" width="15.5703125" style="186" customWidth="1"/>
    <col min="15126" max="15126" width="14.140625" style="186" customWidth="1"/>
    <col min="15127" max="15127" width="1.7109375" style="186" customWidth="1"/>
    <col min="15128" max="15128" width="13.7109375" style="186" customWidth="1"/>
    <col min="15129" max="15129" width="13.85546875" style="186" bestFit="1" customWidth="1"/>
    <col min="15130" max="15130" width="2.5703125" style="186" customWidth="1"/>
    <col min="15131" max="15131" width="12.42578125" style="186" customWidth="1"/>
    <col min="15132" max="15132" width="13.5703125" style="186" customWidth="1"/>
    <col min="15133" max="15133" width="2.5703125" style="186" customWidth="1"/>
    <col min="15134" max="15134" width="12.42578125" style="186" customWidth="1"/>
    <col min="15135" max="15135" width="13.5703125" style="186" customWidth="1"/>
    <col min="15136" max="15136" width="2.5703125" style="186" customWidth="1"/>
    <col min="15137" max="15137" width="11.5703125" style="186" customWidth="1"/>
    <col min="15138" max="15138" width="13" style="186" customWidth="1"/>
    <col min="15139" max="15139" width="1.42578125" style="186" customWidth="1"/>
    <col min="15140" max="15140" width="10.5703125" style="186" customWidth="1"/>
    <col min="15141" max="15372" width="11" style="186"/>
    <col min="15373" max="15373" width="1.5703125" style="186" customWidth="1"/>
    <col min="15374" max="15374" width="8.5703125" style="186" customWidth="1"/>
    <col min="15375" max="15375" width="28.7109375" style="186" customWidth="1"/>
    <col min="15376" max="15376" width="26.5703125" style="186" customWidth="1"/>
    <col min="15377" max="15377" width="7.7109375" style="186" customWidth="1"/>
    <col min="15378" max="15378" width="19.42578125" style="186" customWidth="1"/>
    <col min="15379" max="15379" width="44.28515625" style="186" customWidth="1"/>
    <col min="15380" max="15380" width="17" style="186" customWidth="1"/>
    <col min="15381" max="15381" width="15.5703125" style="186" customWidth="1"/>
    <col min="15382" max="15382" width="14.140625" style="186" customWidth="1"/>
    <col min="15383" max="15383" width="1.7109375" style="186" customWidth="1"/>
    <col min="15384" max="15384" width="13.7109375" style="186" customWidth="1"/>
    <col min="15385" max="15385" width="13.85546875" style="186" bestFit="1" customWidth="1"/>
    <col min="15386" max="15386" width="2.5703125" style="186" customWidth="1"/>
    <col min="15387" max="15387" width="12.42578125" style="186" customWidth="1"/>
    <col min="15388" max="15388" width="13.5703125" style="186" customWidth="1"/>
    <col min="15389" max="15389" width="2.5703125" style="186" customWidth="1"/>
    <col min="15390" max="15390" width="12.42578125" style="186" customWidth="1"/>
    <col min="15391" max="15391" width="13.5703125" style="186" customWidth="1"/>
    <col min="15392" max="15392" width="2.5703125" style="186" customWidth="1"/>
    <col min="15393" max="15393" width="11.5703125" style="186" customWidth="1"/>
    <col min="15394" max="15394" width="13" style="186" customWidth="1"/>
    <col min="15395" max="15395" width="1.42578125" style="186" customWidth="1"/>
    <col min="15396" max="15396" width="10.5703125" style="186" customWidth="1"/>
    <col min="15397" max="15628" width="11" style="186"/>
    <col min="15629" max="15629" width="1.5703125" style="186" customWidth="1"/>
    <col min="15630" max="15630" width="8.5703125" style="186" customWidth="1"/>
    <col min="15631" max="15631" width="28.7109375" style="186" customWidth="1"/>
    <col min="15632" max="15632" width="26.5703125" style="186" customWidth="1"/>
    <col min="15633" max="15633" width="7.7109375" style="186" customWidth="1"/>
    <col min="15634" max="15634" width="19.42578125" style="186" customWidth="1"/>
    <col min="15635" max="15635" width="44.28515625" style="186" customWidth="1"/>
    <col min="15636" max="15636" width="17" style="186" customWidth="1"/>
    <col min="15637" max="15637" width="15.5703125" style="186" customWidth="1"/>
    <col min="15638" max="15638" width="14.140625" style="186" customWidth="1"/>
    <col min="15639" max="15639" width="1.7109375" style="186" customWidth="1"/>
    <col min="15640" max="15640" width="13.7109375" style="186" customWidth="1"/>
    <col min="15641" max="15641" width="13.85546875" style="186" bestFit="1" customWidth="1"/>
    <col min="15642" max="15642" width="2.5703125" style="186" customWidth="1"/>
    <col min="15643" max="15643" width="12.42578125" style="186" customWidth="1"/>
    <col min="15644" max="15644" width="13.5703125" style="186" customWidth="1"/>
    <col min="15645" max="15645" width="2.5703125" style="186" customWidth="1"/>
    <col min="15646" max="15646" width="12.42578125" style="186" customWidth="1"/>
    <col min="15647" max="15647" width="13.5703125" style="186" customWidth="1"/>
    <col min="15648" max="15648" width="2.5703125" style="186" customWidth="1"/>
    <col min="15649" max="15649" width="11.5703125" style="186" customWidth="1"/>
    <col min="15650" max="15650" width="13" style="186" customWidth="1"/>
    <col min="15651" max="15651" width="1.42578125" style="186" customWidth="1"/>
    <col min="15652" max="15652" width="10.5703125" style="186" customWidth="1"/>
    <col min="15653" max="15884" width="11" style="186"/>
    <col min="15885" max="15885" width="1.5703125" style="186" customWidth="1"/>
    <col min="15886" max="15886" width="8.5703125" style="186" customWidth="1"/>
    <col min="15887" max="15887" width="28.7109375" style="186" customWidth="1"/>
    <col min="15888" max="15888" width="26.5703125" style="186" customWidth="1"/>
    <col min="15889" max="15889" width="7.7109375" style="186" customWidth="1"/>
    <col min="15890" max="15890" width="19.42578125" style="186" customWidth="1"/>
    <col min="15891" max="15891" width="44.28515625" style="186" customWidth="1"/>
    <col min="15892" max="15892" width="17" style="186" customWidth="1"/>
    <col min="15893" max="15893" width="15.5703125" style="186" customWidth="1"/>
    <col min="15894" max="15894" width="14.140625" style="186" customWidth="1"/>
    <col min="15895" max="15895" width="1.7109375" style="186" customWidth="1"/>
    <col min="15896" max="15896" width="13.7109375" style="186" customWidth="1"/>
    <col min="15897" max="15897" width="13.85546875" style="186" bestFit="1" customWidth="1"/>
    <col min="15898" max="15898" width="2.5703125" style="186" customWidth="1"/>
    <col min="15899" max="15899" width="12.42578125" style="186" customWidth="1"/>
    <col min="15900" max="15900" width="13.5703125" style="186" customWidth="1"/>
    <col min="15901" max="15901" width="2.5703125" style="186" customWidth="1"/>
    <col min="15902" max="15902" width="12.42578125" style="186" customWidth="1"/>
    <col min="15903" max="15903" width="13.5703125" style="186" customWidth="1"/>
    <col min="15904" max="15904" width="2.5703125" style="186" customWidth="1"/>
    <col min="15905" max="15905" width="11.5703125" style="186" customWidth="1"/>
    <col min="15906" max="15906" width="13" style="186" customWidth="1"/>
    <col min="15907" max="15907" width="1.42578125" style="186" customWidth="1"/>
    <col min="15908" max="15908" width="10.5703125" style="186" customWidth="1"/>
    <col min="15909" max="16140" width="11" style="186"/>
    <col min="16141" max="16141" width="1.5703125" style="186" customWidth="1"/>
    <col min="16142" max="16142" width="8.5703125" style="186" customWidth="1"/>
    <col min="16143" max="16143" width="28.7109375" style="186" customWidth="1"/>
    <col min="16144" max="16144" width="26.5703125" style="186" customWidth="1"/>
    <col min="16145" max="16145" width="7.7109375" style="186" customWidth="1"/>
    <col min="16146" max="16146" width="19.42578125" style="186" customWidth="1"/>
    <col min="16147" max="16147" width="44.28515625" style="186" customWidth="1"/>
    <col min="16148" max="16148" width="17" style="186" customWidth="1"/>
    <col min="16149" max="16149" width="15.5703125" style="186" customWidth="1"/>
    <col min="16150" max="16150" width="14.140625" style="186" customWidth="1"/>
    <col min="16151" max="16151" width="1.7109375" style="186" customWidth="1"/>
    <col min="16152" max="16152" width="13.7109375" style="186" customWidth="1"/>
    <col min="16153" max="16153" width="13.85546875" style="186" bestFit="1" customWidth="1"/>
    <col min="16154" max="16154" width="2.5703125" style="186" customWidth="1"/>
    <col min="16155" max="16155" width="12.42578125" style="186" customWidth="1"/>
    <col min="16156" max="16156" width="13.5703125" style="186" customWidth="1"/>
    <col min="16157" max="16157" width="2.5703125" style="186" customWidth="1"/>
    <col min="16158" max="16158" width="12.42578125" style="186" customWidth="1"/>
    <col min="16159" max="16159" width="13.5703125" style="186" customWidth="1"/>
    <col min="16160" max="16160" width="2.5703125" style="186" customWidth="1"/>
    <col min="16161" max="16161" width="11.5703125" style="186" customWidth="1"/>
    <col min="16162" max="16162" width="13" style="186" customWidth="1"/>
    <col min="16163" max="16163" width="1.42578125" style="186" customWidth="1"/>
    <col min="16164" max="16164" width="10.5703125" style="186" customWidth="1"/>
    <col min="16165" max="16384" width="11" style="186"/>
  </cols>
  <sheetData>
    <row r="1" spans="2:92" s="8" customFormat="1" ht="19.5" customHeight="1" x14ac:dyDescent="0.2">
      <c r="B1" s="976"/>
      <c r="C1" s="977"/>
      <c r="D1" s="1310" t="s">
        <v>246</v>
      </c>
      <c r="E1" s="1311"/>
      <c r="F1" s="182"/>
      <c r="G1" s="182"/>
      <c r="H1" s="1311" t="s">
        <v>247</v>
      </c>
      <c r="I1" s="1311"/>
      <c r="J1" s="1311"/>
      <c r="K1" s="1311"/>
      <c r="L1" s="1311"/>
      <c r="M1" s="1311"/>
      <c r="N1" s="1311"/>
      <c r="O1" s="1311"/>
      <c r="P1" s="1311"/>
      <c r="Q1" s="1311"/>
      <c r="R1" s="1311"/>
      <c r="S1" s="1311"/>
      <c r="T1" s="1311"/>
      <c r="U1" s="1311"/>
      <c r="V1" s="1311"/>
      <c r="W1" s="1311"/>
      <c r="X1" s="1312"/>
      <c r="Y1" s="1309"/>
      <c r="Z1" s="1310"/>
      <c r="AA1" s="1311"/>
      <c r="AB1" s="1311"/>
      <c r="AC1" s="1311"/>
      <c r="AD1" s="1311"/>
      <c r="AE1" s="1311"/>
      <c r="AF1" s="1311"/>
      <c r="AG1" s="1311"/>
      <c r="AH1" s="1311"/>
      <c r="AI1" s="1312"/>
      <c r="AJ1" s="1313"/>
      <c r="AK1" s="301"/>
    </row>
    <row r="2" spans="2:92" s="8" customFormat="1" ht="23.25" customHeight="1" x14ac:dyDescent="0.2">
      <c r="B2" s="978"/>
      <c r="C2" s="979"/>
      <c r="D2" s="1315" t="s">
        <v>248</v>
      </c>
      <c r="E2" s="1316"/>
      <c r="F2" s="183"/>
      <c r="G2" s="183"/>
      <c r="H2" s="1316" t="s">
        <v>209</v>
      </c>
      <c r="I2" s="1316"/>
      <c r="J2" s="1316"/>
      <c r="K2" s="1316"/>
      <c r="L2" s="1316"/>
      <c r="M2" s="1316"/>
      <c r="N2" s="1316"/>
      <c r="O2" s="1316"/>
      <c r="P2" s="1316"/>
      <c r="Q2" s="1316"/>
      <c r="R2" s="1316"/>
      <c r="S2" s="1316"/>
      <c r="T2" s="1316"/>
      <c r="U2" s="1316"/>
      <c r="V2" s="1316"/>
      <c r="W2" s="1316"/>
      <c r="X2" s="1317"/>
      <c r="Y2" s="1314"/>
      <c r="Z2" s="1315"/>
      <c r="AA2" s="1316"/>
      <c r="AB2" s="1316"/>
      <c r="AC2" s="1316"/>
      <c r="AD2" s="1316"/>
      <c r="AE2" s="1316"/>
      <c r="AF2" s="1316"/>
      <c r="AG2" s="1316"/>
      <c r="AH2" s="1316"/>
      <c r="AI2" s="1317"/>
      <c r="AJ2" s="1318"/>
      <c r="AK2" s="301"/>
    </row>
    <row r="3" spans="2:92" s="8" customFormat="1" ht="19.5" customHeight="1" thickBot="1" x14ac:dyDescent="0.25">
      <c r="B3" s="980"/>
      <c r="C3" s="981"/>
      <c r="D3" s="1320" t="s">
        <v>242</v>
      </c>
      <c r="E3" s="1321"/>
      <c r="F3" s="184"/>
      <c r="G3" s="184"/>
      <c r="H3" s="184" t="s">
        <v>251</v>
      </c>
      <c r="I3" s="1324" t="s">
        <v>252</v>
      </c>
      <c r="J3" s="1324"/>
      <c r="K3" s="1324"/>
      <c r="L3" s="1324"/>
      <c r="M3" s="1324"/>
      <c r="N3" s="1324"/>
      <c r="O3" s="1324"/>
      <c r="P3" s="1324"/>
      <c r="Q3" s="1324"/>
      <c r="R3" s="1324"/>
      <c r="S3" s="302"/>
      <c r="T3" s="1322" t="s">
        <v>249</v>
      </c>
      <c r="U3" s="1325"/>
      <c r="V3" s="1325"/>
      <c r="W3" s="1320"/>
      <c r="X3" s="185">
        <v>1</v>
      </c>
      <c r="Y3" s="1319"/>
      <c r="Z3" s="1320"/>
      <c r="AA3" s="1321"/>
      <c r="AB3" s="1321"/>
      <c r="AC3" s="1321"/>
      <c r="AD3" s="1321"/>
      <c r="AE3" s="1321"/>
      <c r="AF3" s="1321"/>
      <c r="AG3" s="1321"/>
      <c r="AH3" s="1321"/>
      <c r="AI3" s="1322"/>
      <c r="AJ3" s="1323"/>
      <c r="AK3" s="301"/>
    </row>
    <row r="4" spans="2:92" ht="18.75" thickBot="1" x14ac:dyDescent="0.25">
      <c r="B4" s="299"/>
      <c r="C4" s="299"/>
      <c r="D4" s="299"/>
      <c r="E4" s="299"/>
      <c r="F4" s="299"/>
      <c r="G4" s="299"/>
      <c r="H4" s="299"/>
      <c r="I4" s="299"/>
      <c r="J4" s="299"/>
      <c r="K4" s="299"/>
      <c r="L4" s="299"/>
      <c r="M4" s="299"/>
      <c r="N4" s="299"/>
      <c r="O4" s="299"/>
      <c r="P4" s="300"/>
      <c r="Q4" s="299"/>
      <c r="R4" s="299"/>
      <c r="S4" s="299"/>
      <c r="T4" s="299"/>
      <c r="U4" s="299"/>
      <c r="V4" s="299"/>
      <c r="W4" s="300"/>
      <c r="X4" s="299"/>
      <c r="Y4" s="299"/>
      <c r="Z4" s="299"/>
      <c r="AA4" s="299"/>
      <c r="AB4" s="299"/>
      <c r="AC4" s="299"/>
      <c r="AD4" s="300"/>
      <c r="AE4" s="299"/>
      <c r="AF4" s="299"/>
      <c r="AG4" s="299"/>
      <c r="AH4" s="299"/>
      <c r="AI4" s="299"/>
      <c r="AJ4" s="299"/>
    </row>
    <row r="5" spans="2:92" ht="18.75" customHeight="1" thickBot="1" x14ac:dyDescent="0.25">
      <c r="B5" s="1332" t="s">
        <v>1178</v>
      </c>
      <c r="C5" s="1333"/>
      <c r="D5" s="1332" t="s">
        <v>1177</v>
      </c>
      <c r="E5" s="1333"/>
      <c r="F5" s="303"/>
      <c r="G5" s="303"/>
      <c r="AJ5" s="207"/>
    </row>
    <row r="6" spans="2:92" ht="18.75" customHeight="1" x14ac:dyDescent="0.2">
      <c r="B6" s="298" t="s">
        <v>180</v>
      </c>
      <c r="C6" s="297" t="s">
        <v>181</v>
      </c>
      <c r="D6" s="298" t="s">
        <v>180</v>
      </c>
      <c r="E6" s="297" t="s">
        <v>181</v>
      </c>
      <c r="F6" s="304"/>
      <c r="G6" s="304"/>
      <c r="AJ6" s="207"/>
    </row>
    <row r="7" spans="2:92" ht="18.75" customHeight="1" x14ac:dyDescent="0.2">
      <c r="B7" s="296" t="s">
        <v>196</v>
      </c>
      <c r="C7" s="290" t="s">
        <v>198</v>
      </c>
      <c r="D7" s="296" t="s">
        <v>1176</v>
      </c>
      <c r="E7" s="290" t="s">
        <v>198</v>
      </c>
      <c r="F7" s="304"/>
      <c r="G7" s="304"/>
      <c r="H7" s="193"/>
      <c r="I7" s="289"/>
      <c r="K7" s="288"/>
      <c r="L7" s="288"/>
      <c r="AJ7" s="207"/>
    </row>
    <row r="8" spans="2:92" ht="25.5" x14ac:dyDescent="0.2">
      <c r="B8" s="295" t="s">
        <v>1175</v>
      </c>
      <c r="C8" s="290" t="s">
        <v>182</v>
      </c>
      <c r="D8" s="295" t="s">
        <v>1174</v>
      </c>
      <c r="E8" s="290" t="s">
        <v>182</v>
      </c>
      <c r="F8" s="304"/>
      <c r="G8" s="304"/>
      <c r="I8" s="289"/>
      <c r="J8" s="294"/>
      <c r="K8" s="288"/>
      <c r="L8" s="288"/>
      <c r="AJ8" s="293"/>
    </row>
    <row r="9" spans="2:92" ht="25.5" x14ac:dyDescent="0.2">
      <c r="B9" s="292" t="s">
        <v>1173</v>
      </c>
      <c r="C9" s="290" t="s">
        <v>183</v>
      </c>
      <c r="D9" s="292" t="s">
        <v>1172</v>
      </c>
      <c r="E9" s="290" t="s">
        <v>183</v>
      </c>
      <c r="F9" s="304"/>
      <c r="G9" s="304"/>
      <c r="I9" s="289"/>
      <c r="J9" s="289"/>
      <c r="K9" s="288"/>
      <c r="L9" s="288"/>
      <c r="AJ9" s="283"/>
    </row>
    <row r="10" spans="2:92" ht="15" x14ac:dyDescent="0.2">
      <c r="B10" s="291" t="s">
        <v>195</v>
      </c>
      <c r="C10" s="290" t="s">
        <v>184</v>
      </c>
      <c r="D10" s="291" t="s">
        <v>1171</v>
      </c>
      <c r="E10" s="290" t="s">
        <v>184</v>
      </c>
      <c r="F10" s="304"/>
      <c r="G10" s="304"/>
      <c r="I10" s="289"/>
      <c r="K10" s="288"/>
      <c r="L10" s="288"/>
      <c r="AJ10" s="283"/>
    </row>
    <row r="11" spans="2:92" ht="15.75" thickBot="1" x14ac:dyDescent="0.25">
      <c r="B11" s="287" t="s">
        <v>185</v>
      </c>
      <c r="C11" s="285" t="s">
        <v>186</v>
      </c>
      <c r="D11" s="286" t="s">
        <v>1170</v>
      </c>
      <c r="E11" s="285" t="s">
        <v>186</v>
      </c>
      <c r="F11" s="304"/>
      <c r="G11" s="304"/>
      <c r="AJ11" s="283"/>
    </row>
    <row r="12" spans="2:92" ht="15.75" thickBot="1" x14ac:dyDescent="0.25">
      <c r="D12" s="284"/>
      <c r="E12" s="284"/>
      <c r="F12" s="284"/>
      <c r="G12" s="284"/>
      <c r="H12" s="284"/>
      <c r="AJ12" s="283"/>
    </row>
    <row r="13" spans="2:92" ht="21" customHeight="1" thickBot="1" x14ac:dyDescent="0.25">
      <c r="I13" s="282"/>
      <c r="J13" s="1285" t="s">
        <v>199</v>
      </c>
      <c r="K13" s="1286"/>
      <c r="L13" s="1286"/>
      <c r="M13" s="1286"/>
      <c r="N13" s="1286"/>
      <c r="O13" s="1286"/>
      <c r="P13" s="1286"/>
      <c r="Q13" s="1287"/>
      <c r="R13" s="1287"/>
      <c r="S13" s="1287"/>
      <c r="T13" s="1287"/>
      <c r="U13" s="1287"/>
      <c r="V13" s="1287"/>
      <c r="W13" s="1286"/>
      <c r="X13" s="1287"/>
      <c r="Y13" s="1287"/>
      <c r="Z13" s="1287"/>
      <c r="AA13" s="1287"/>
      <c r="AB13" s="1287"/>
      <c r="AC13" s="1287"/>
      <c r="AD13" s="1287"/>
      <c r="AE13" s="1287"/>
      <c r="AF13" s="1287"/>
      <c r="AG13" s="1287"/>
      <c r="AH13" s="1287"/>
      <c r="AI13" s="1287"/>
      <c r="AJ13" s="1288"/>
      <c r="AL13" s="1289" t="s">
        <v>199</v>
      </c>
      <c r="AM13" s="1290"/>
      <c r="AN13" s="1290"/>
      <c r="AO13" s="1290"/>
      <c r="AP13" s="1290"/>
      <c r="AQ13" s="1290"/>
      <c r="AR13" s="1290"/>
      <c r="AS13" s="1290"/>
      <c r="AT13" s="1290"/>
      <c r="AU13" s="1290"/>
      <c r="AV13" s="1290"/>
      <c r="AW13" s="1290"/>
      <c r="AX13" s="1291"/>
      <c r="AZ13" s="1289" t="s">
        <v>200</v>
      </c>
      <c r="BA13" s="1290"/>
      <c r="BB13" s="1290"/>
      <c r="BC13" s="1290"/>
      <c r="BD13" s="1290"/>
      <c r="BE13" s="1290"/>
      <c r="BF13" s="1290"/>
      <c r="BG13" s="1290"/>
      <c r="BH13" s="1290"/>
      <c r="BI13" s="1290"/>
      <c r="BJ13" s="1290"/>
      <c r="BK13" s="1290"/>
      <c r="BL13" s="1291"/>
      <c r="BN13" s="1289" t="s">
        <v>201</v>
      </c>
      <c r="BO13" s="1290"/>
      <c r="BP13" s="1290"/>
      <c r="BQ13" s="1290"/>
      <c r="BR13" s="1290"/>
      <c r="BS13" s="1290"/>
      <c r="BT13" s="1290"/>
      <c r="BU13" s="1290"/>
      <c r="BV13" s="1290"/>
      <c r="BW13" s="1290"/>
      <c r="BX13" s="1290"/>
      <c r="BY13" s="1290"/>
      <c r="BZ13" s="1291"/>
      <c r="CB13" s="1289" t="s">
        <v>202</v>
      </c>
      <c r="CC13" s="1290"/>
      <c r="CD13" s="1290"/>
      <c r="CE13" s="1290"/>
      <c r="CF13" s="1290"/>
      <c r="CG13" s="1290"/>
      <c r="CH13" s="1290"/>
      <c r="CI13" s="1290"/>
      <c r="CJ13" s="1290"/>
      <c r="CK13" s="1290"/>
      <c r="CL13" s="1290"/>
      <c r="CM13" s="1290"/>
      <c r="CN13" s="1291"/>
    </row>
    <row r="14" spans="2:92" s="272" customFormat="1" ht="59.25" customHeight="1" thickBot="1" x14ac:dyDescent="0.3">
      <c r="B14" s="281" t="s">
        <v>203</v>
      </c>
      <c r="C14" s="281" t="s">
        <v>205</v>
      </c>
      <c r="D14" s="281" t="s">
        <v>258</v>
      </c>
      <c r="E14" s="281" t="s">
        <v>206</v>
      </c>
      <c r="F14" s="305" t="s">
        <v>255</v>
      </c>
      <c r="G14" s="305" t="s">
        <v>207</v>
      </c>
      <c r="H14" s="280" t="s">
        <v>0</v>
      </c>
      <c r="I14" s="279"/>
      <c r="J14" s="277" t="s">
        <v>211</v>
      </c>
      <c r="K14" s="1294" t="s">
        <v>1169</v>
      </c>
      <c r="L14" s="1334"/>
      <c r="M14" s="1335" t="s">
        <v>210</v>
      </c>
      <c r="N14" s="1308"/>
      <c r="O14" s="1308"/>
      <c r="P14" s="278"/>
      <c r="Q14" s="311" t="s">
        <v>212</v>
      </c>
      <c r="R14" s="1330" t="s">
        <v>1169</v>
      </c>
      <c r="S14" s="1331"/>
      <c r="T14" s="1327" t="s">
        <v>210</v>
      </c>
      <c r="U14" s="1328"/>
      <c r="V14" s="1328"/>
      <c r="W14" s="278"/>
      <c r="X14" s="314" t="s">
        <v>213</v>
      </c>
      <c r="Y14" s="1292" t="s">
        <v>1169</v>
      </c>
      <c r="Z14" s="1293"/>
      <c r="AA14" s="1327" t="s">
        <v>210</v>
      </c>
      <c r="AB14" s="1328"/>
      <c r="AC14" s="1329"/>
      <c r="AD14" s="278"/>
      <c r="AE14" s="277" t="s">
        <v>214</v>
      </c>
      <c r="AF14" s="1294" t="s">
        <v>1169</v>
      </c>
      <c r="AG14" s="1295"/>
      <c r="AH14" s="1307" t="s">
        <v>210</v>
      </c>
      <c r="AI14" s="1308"/>
      <c r="AJ14" s="276" t="s">
        <v>215</v>
      </c>
      <c r="AK14" s="275"/>
      <c r="AL14" s="273"/>
      <c r="AM14" s="273"/>
      <c r="AN14" s="274"/>
      <c r="AO14" s="273"/>
      <c r="AP14" s="273"/>
      <c r="AQ14" s="274"/>
      <c r="AR14" s="273"/>
      <c r="AS14" s="273"/>
      <c r="AT14" s="274"/>
      <c r="AU14" s="273"/>
      <c r="AV14" s="273"/>
      <c r="AW14" s="274"/>
      <c r="AX14" s="273"/>
      <c r="AZ14" s="273"/>
      <c r="BA14" s="273"/>
      <c r="BB14" s="274"/>
      <c r="BC14" s="273"/>
      <c r="BD14" s="273"/>
      <c r="BE14" s="274"/>
      <c r="BF14" s="273"/>
      <c r="BG14" s="273"/>
      <c r="BH14" s="274"/>
      <c r="BI14" s="273"/>
      <c r="BJ14" s="273"/>
      <c r="BK14" s="274"/>
      <c r="BL14" s="273"/>
      <c r="BN14" s="273"/>
      <c r="BO14" s="273"/>
      <c r="BP14" s="274"/>
      <c r="BQ14" s="273"/>
      <c r="BR14" s="273"/>
      <c r="BS14" s="274"/>
      <c r="BT14" s="273"/>
      <c r="BU14" s="273"/>
      <c r="BV14" s="274"/>
      <c r="BW14" s="273"/>
      <c r="BX14" s="273"/>
      <c r="BY14" s="274"/>
      <c r="BZ14" s="273"/>
      <c r="CB14" s="273"/>
      <c r="CC14" s="273"/>
      <c r="CD14" s="274"/>
      <c r="CE14" s="273"/>
      <c r="CF14" s="273"/>
      <c r="CG14" s="274"/>
      <c r="CH14" s="273"/>
      <c r="CI14" s="273"/>
      <c r="CJ14" s="274"/>
      <c r="CK14" s="273"/>
      <c r="CL14" s="273"/>
      <c r="CM14" s="274"/>
      <c r="CN14" s="273"/>
    </row>
    <row r="15" spans="2:92" ht="69.75" customHeight="1" thickBot="1" x14ac:dyDescent="0.25">
      <c r="B15" s="1344" t="s">
        <v>1159</v>
      </c>
      <c r="C15" s="1260" t="s">
        <v>345</v>
      </c>
      <c r="D15" s="1301" t="s">
        <v>1160</v>
      </c>
      <c r="E15" s="1238" t="s">
        <v>13</v>
      </c>
      <c r="F15" s="1239" t="s">
        <v>330</v>
      </c>
      <c r="G15" s="310" t="str">
        <f>+'Plan de Accion Proyectos estrat'!K9</f>
        <v>Paquetes de recobros y reclamaciones del rezago entregados para pago certificados por la Firma Interventora / Grupo supervisor de la ADRES o quien haga sus veces</v>
      </c>
      <c r="H15" s="1261" t="s">
        <v>219</v>
      </c>
      <c r="I15" s="220"/>
      <c r="J15" s="271">
        <f>+'Plan de Accion Proyectos estrat'!AJ9</f>
        <v>0</v>
      </c>
      <c r="K15" s="267">
        <f>+'Plan de Accion Proyectos estrat'!BS9</f>
        <v>0</v>
      </c>
      <c r="L15" s="267">
        <f>IF(K15&gt;100%,100%,K15)</f>
        <v>0</v>
      </c>
      <c r="M15" s="267">
        <f>+'Plan de Accion Proyectos estrat'!AL9</f>
        <v>0</v>
      </c>
      <c r="N15" s="267">
        <f>IF(M15&gt;100%,100%,M15)</f>
        <v>0</v>
      </c>
      <c r="O15" s="267">
        <f>+N15</f>
        <v>0</v>
      </c>
      <c r="P15" s="229"/>
      <c r="Q15" s="271">
        <f>+'Plan de Accion Proyectos estrat'!AT9</f>
        <v>0</v>
      </c>
      <c r="R15" s="267">
        <f>+'Plan de Accion Proyectos estrat'!BU9</f>
        <v>0</v>
      </c>
      <c r="S15" s="270">
        <f>IF(R15&gt;100%,100%,R15)</f>
        <v>0</v>
      </c>
      <c r="T15" s="267">
        <f>+'Plan de Accion Proyectos estrat'!AV9</f>
        <v>0</v>
      </c>
      <c r="U15" s="267">
        <f>IF(T15&gt;100%,100%,T15)</f>
        <v>0</v>
      </c>
      <c r="V15" s="269">
        <f>+U15</f>
        <v>0</v>
      </c>
      <c r="W15" s="229"/>
      <c r="X15" s="271">
        <f>+'Plan de Accion Proyectos estrat'!BD9</f>
        <v>0</v>
      </c>
      <c r="Y15" s="267">
        <f>+'Plan de Accion Proyectos estrat'!BW9</f>
        <v>0</v>
      </c>
      <c r="Z15" s="270">
        <f>IF(Y15&gt;100%,100%,Y15)</f>
        <v>0</v>
      </c>
      <c r="AA15" s="315">
        <f>+'Plan de Accion Proyectos estrat'!AL9</f>
        <v>0</v>
      </c>
      <c r="AB15" s="315">
        <f>IF(AA15&gt;100%,100%,AA15)</f>
        <v>0</v>
      </c>
      <c r="AC15" s="316">
        <f>+AB15</f>
        <v>0</v>
      </c>
      <c r="AD15" s="229"/>
      <c r="AE15" s="271">
        <f>+'Plan de Accion Proyectos estrat'!AT9</f>
        <v>0</v>
      </c>
      <c r="AF15" s="267">
        <f>+'Plan de Accion Proyectos estrat'!BY9</f>
        <v>0</v>
      </c>
      <c r="AG15" s="270">
        <f>IF(AF15&gt;100%,100%,AF15)</f>
        <v>0</v>
      </c>
      <c r="AH15" s="267">
        <f>+'Plan de Accion Proyectos estrat'!BP9</f>
        <v>0</v>
      </c>
      <c r="AI15" s="269">
        <f>IF(AH15&gt;100%,100%,AH15)</f>
        <v>0</v>
      </c>
      <c r="AJ15" s="221"/>
      <c r="AL15" s="268"/>
      <c r="AM15" s="219"/>
      <c r="AN15" s="220"/>
      <c r="AO15" s="268"/>
      <c r="AP15" s="219"/>
      <c r="AQ15" s="220"/>
      <c r="AR15" s="268"/>
      <c r="AS15" s="219"/>
      <c r="AT15" s="220"/>
      <c r="AU15" s="268"/>
      <c r="AV15" s="219"/>
      <c r="AW15" s="218"/>
      <c r="AX15" s="217"/>
      <c r="AZ15" s="268"/>
      <c r="BA15" s="219"/>
      <c r="BB15" s="220"/>
      <c r="BC15" s="268"/>
      <c r="BD15" s="219"/>
      <c r="BE15" s="220"/>
      <c r="BF15" s="268"/>
      <c r="BG15" s="219"/>
      <c r="BH15" s="220"/>
      <c r="BI15" s="268"/>
      <c r="BJ15" s="219"/>
      <c r="BK15" s="218"/>
      <c r="BL15" s="217"/>
      <c r="BN15" s="268"/>
      <c r="BO15" s="219"/>
      <c r="BP15" s="220"/>
      <c r="BQ15" s="268"/>
      <c r="BR15" s="219"/>
      <c r="BS15" s="220"/>
      <c r="BT15" s="268"/>
      <c r="BU15" s="219"/>
      <c r="BV15" s="220"/>
      <c r="BW15" s="268"/>
      <c r="BX15" s="219"/>
      <c r="BY15" s="218"/>
      <c r="BZ15" s="217"/>
      <c r="CB15" s="268"/>
      <c r="CC15" s="219"/>
      <c r="CD15" s="220"/>
      <c r="CE15" s="268"/>
      <c r="CF15" s="219"/>
      <c r="CG15" s="220"/>
      <c r="CH15" s="268"/>
      <c r="CI15" s="219"/>
      <c r="CJ15" s="220"/>
      <c r="CK15" s="268"/>
      <c r="CL15" s="219"/>
      <c r="CM15" s="218"/>
      <c r="CN15" s="217"/>
    </row>
    <row r="16" spans="2:92" ht="99.75" x14ac:dyDescent="0.2">
      <c r="B16" s="1345"/>
      <c r="C16" s="1231"/>
      <c r="D16" s="1302"/>
      <c r="E16" s="1212"/>
      <c r="F16" s="1210"/>
      <c r="G16" s="335" t="str">
        <f>+'Plan de Accion Proyectos estrat'!K14</f>
        <v>Apoyos técnicos enviados a la OAJ en recobros y reclamaciones una vez son entregados los reportes a la DOP por la Dirección de Tecnología de la Información</v>
      </c>
      <c r="H16" s="1262"/>
      <c r="I16" s="220"/>
      <c r="J16" s="323">
        <f>+'Plan de Accion Proyectos estrat'!AJ14</f>
        <v>0.68888888888888888</v>
      </c>
      <c r="K16" s="503">
        <f>+'Plan de Accion Proyectos estrat'!BS14</f>
        <v>0.68888888888888888</v>
      </c>
      <c r="L16" s="503">
        <f>IF(K16&gt;100%,100%,K16)</f>
        <v>0.68888888888888888</v>
      </c>
      <c r="M16" s="503">
        <f>+'Plan de Accion Proyectos estrat'!AL14</f>
        <v>0.17222222222222222</v>
      </c>
      <c r="N16" s="503">
        <f>IF(M16&gt;100%,100%,M16)</f>
        <v>0.17222222222222222</v>
      </c>
      <c r="O16" s="503">
        <f>+N16</f>
        <v>0.17222222222222222</v>
      </c>
      <c r="P16" s="229"/>
      <c r="Q16" s="323">
        <f>+'Plan de Accion Proyectos estrat'!AT14</f>
        <v>1</v>
      </c>
      <c r="R16" s="324">
        <f>+'Plan de Accion Proyectos estrat'!BU14</f>
        <v>1</v>
      </c>
      <c r="S16" s="228">
        <f>IF(R16&gt;100%,100%,R16)</f>
        <v>1</v>
      </c>
      <c r="T16" s="324">
        <f>+'Plan de Accion Proyectos estrat'!AV14</f>
        <v>0.42222222222222222</v>
      </c>
      <c r="U16" s="324">
        <f>IF(T16&gt;100%,100%,T16)</f>
        <v>0.42222222222222222</v>
      </c>
      <c r="V16" s="227">
        <f>+U16</f>
        <v>0.42222222222222222</v>
      </c>
      <c r="W16" s="229"/>
      <c r="X16" s="323">
        <f>+'Plan de Accion Proyectos estrat'!BD14</f>
        <v>0</v>
      </c>
      <c r="Y16" s="324">
        <f>+'Plan de Accion Proyectos estrat'!BW14</f>
        <v>0</v>
      </c>
      <c r="Z16" s="228">
        <f>IF(Y16&gt;100%,100%,Y16)</f>
        <v>0</v>
      </c>
      <c r="AA16" s="309">
        <f>+'Plan de Accion Proyectos estrat'!AL14</f>
        <v>0.17222222222222222</v>
      </c>
      <c r="AB16" s="309">
        <f>IF(AA16&gt;100%,100%,AA16)</f>
        <v>0.17222222222222222</v>
      </c>
      <c r="AC16" s="322">
        <f>+AB16</f>
        <v>0.17222222222222222</v>
      </c>
      <c r="AD16" s="229"/>
      <c r="AE16" s="323">
        <f>+'Plan de Accion Proyectos estrat'!AT14</f>
        <v>1</v>
      </c>
      <c r="AF16" s="324">
        <f>+'Plan de Accion Proyectos estrat'!BY14</f>
        <v>0</v>
      </c>
      <c r="AG16" s="228">
        <f>IF(AF16&gt;100%,100%,AF16)</f>
        <v>0</v>
      </c>
      <c r="AH16" s="324">
        <f>+'Plan de Accion Proyectos estrat'!BP14</f>
        <v>0.42222222222222222</v>
      </c>
      <c r="AI16" s="227">
        <f>IF(AH16&gt;100%,100%,AH16)</f>
        <v>0.42222222222222222</v>
      </c>
      <c r="AJ16" s="1273"/>
      <c r="AL16" s="1282"/>
      <c r="AM16" s="1267"/>
      <c r="AN16" s="220"/>
      <c r="AO16" s="1298"/>
      <c r="AP16" s="1267"/>
      <c r="AQ16" s="220"/>
      <c r="AR16" s="1282"/>
      <c r="AS16" s="1267"/>
      <c r="AT16" s="220"/>
      <c r="AU16" s="1282"/>
      <c r="AV16" s="1267"/>
      <c r="AW16" s="218"/>
      <c r="AX16" s="1274"/>
      <c r="AZ16" s="1282"/>
      <c r="BA16" s="1267"/>
      <c r="BB16" s="220"/>
      <c r="BC16" s="1298"/>
      <c r="BD16" s="1267"/>
      <c r="BE16" s="220"/>
      <c r="BF16" s="1282"/>
      <c r="BG16" s="1267"/>
      <c r="BH16" s="220"/>
      <c r="BI16" s="1282"/>
      <c r="BJ16" s="1267"/>
      <c r="BK16" s="218"/>
      <c r="BL16" s="1274"/>
      <c r="BN16" s="1282"/>
      <c r="BO16" s="1267"/>
      <c r="BP16" s="220"/>
      <c r="BQ16" s="1298"/>
      <c r="BR16" s="1267"/>
      <c r="BS16" s="220"/>
      <c r="BT16" s="1282"/>
      <c r="BU16" s="1267"/>
      <c r="BV16" s="220"/>
      <c r="BW16" s="1282"/>
      <c r="BX16" s="1267"/>
      <c r="BY16" s="218"/>
      <c r="BZ16" s="1274"/>
      <c r="CB16" s="1282"/>
      <c r="CC16" s="1267"/>
      <c r="CD16" s="220"/>
      <c r="CE16" s="1298"/>
      <c r="CF16" s="1267"/>
      <c r="CG16" s="220"/>
      <c r="CH16" s="1282"/>
      <c r="CI16" s="1267"/>
      <c r="CJ16" s="220"/>
      <c r="CK16" s="1282"/>
      <c r="CL16" s="1267"/>
      <c r="CM16" s="218"/>
      <c r="CN16" s="1274"/>
    </row>
    <row r="17" spans="2:92" ht="62.25" customHeight="1" x14ac:dyDescent="0.2">
      <c r="B17" s="1345"/>
      <c r="C17" s="1232"/>
      <c r="D17" s="1302"/>
      <c r="E17" s="1213"/>
      <c r="F17" s="1203"/>
      <c r="G17" s="308" t="str">
        <f>+'Plan de Accion Proyectos estrat'!K15</f>
        <v>Informe de alternativas para optimizar y sistematizar el proceso de auditoria integral</v>
      </c>
      <c r="H17" s="1262"/>
      <c r="I17" s="220"/>
      <c r="J17" s="323">
        <f>+'Plan de Accion Proyectos estrat'!AJ15</f>
        <v>0.43058492742551568</v>
      </c>
      <c r="K17" s="503">
        <f>+'Plan de Accion Proyectos estrat'!BS15</f>
        <v>0.43058492742551568</v>
      </c>
      <c r="L17" s="503">
        <f>IF(K17&gt;100%,100%,K17)</f>
        <v>0.43058492742551568</v>
      </c>
      <c r="M17" s="503">
        <f>+'Plan de Accion Proyectos estrat'!AL15</f>
        <v>7.8288168622821036E-2</v>
      </c>
      <c r="N17" s="503">
        <f>IF(M17&gt;100%,100%,M17)</f>
        <v>7.8288168622821036E-2</v>
      </c>
      <c r="O17" s="503">
        <f>+N17</f>
        <v>7.8288168622821036E-2</v>
      </c>
      <c r="P17" s="229"/>
      <c r="Q17" s="323">
        <f>+'Plan de Accion Proyectos estrat'!AT15</f>
        <v>1.4352830909090908</v>
      </c>
      <c r="R17" s="324">
        <f>+'Plan de Accion Proyectos estrat'!BU15</f>
        <v>1.4352830909090908</v>
      </c>
      <c r="S17" s="228">
        <f>IF(R17&gt;100%,100%,R17)</f>
        <v>1</v>
      </c>
      <c r="T17" s="324">
        <f>+'Plan de Accion Proyectos estrat'!AV15</f>
        <v>0.4697290115980276</v>
      </c>
      <c r="U17" s="324">
        <f>IF(T17&gt;100%,100%,T17)</f>
        <v>0.4697290115980276</v>
      </c>
      <c r="V17" s="227">
        <f>+U17</f>
        <v>0.4697290115980276</v>
      </c>
      <c r="W17" s="229">
        <v>1</v>
      </c>
      <c r="X17" s="323">
        <f>+'Plan de Accion Proyectos estrat'!BD15</f>
        <v>0</v>
      </c>
      <c r="Y17" s="324">
        <f>+'Plan de Accion Proyectos estrat'!BW15</f>
        <v>0</v>
      </c>
      <c r="Z17" s="228">
        <f>IF(Y17&gt;100%,100%,Y17)</f>
        <v>0</v>
      </c>
      <c r="AA17" s="309">
        <f>+'Plan de Accion Proyectos estrat'!AL15</f>
        <v>7.8288168622821036E-2</v>
      </c>
      <c r="AB17" s="309">
        <f>IF(AA17&gt;100%,100%,AA17)</f>
        <v>7.8288168622821036E-2</v>
      </c>
      <c r="AC17" s="322">
        <f>+AB17</f>
        <v>7.8288168622821036E-2</v>
      </c>
      <c r="AD17" s="229"/>
      <c r="AE17" s="323">
        <f>+'Plan de Accion Proyectos estrat'!AT15</f>
        <v>1.4352830909090908</v>
      </c>
      <c r="AF17" s="324">
        <f>+'Plan de Accion Proyectos estrat'!BY15</f>
        <v>0</v>
      </c>
      <c r="AG17" s="228">
        <f>IF(AF17&gt;100%,100%,AF17)</f>
        <v>0</v>
      </c>
      <c r="AH17" s="324">
        <f>+'Plan de Accion Proyectos estrat'!BP15</f>
        <v>0.4697290115980276</v>
      </c>
      <c r="AI17" s="227">
        <f>IF(AH17&gt;100%,100%,AH17)</f>
        <v>0.4697290115980276</v>
      </c>
      <c r="AJ17" s="1256"/>
      <c r="AL17" s="1283"/>
      <c r="AM17" s="1258"/>
      <c r="AN17" s="220"/>
      <c r="AO17" s="1299"/>
      <c r="AP17" s="1258"/>
      <c r="AQ17" s="220"/>
      <c r="AR17" s="1283"/>
      <c r="AS17" s="1258"/>
      <c r="AT17" s="220"/>
      <c r="AU17" s="1283"/>
      <c r="AV17" s="1258"/>
      <c r="AW17" s="218"/>
      <c r="AX17" s="1275"/>
      <c r="AZ17" s="1283"/>
      <c r="BA17" s="1258"/>
      <c r="BB17" s="220"/>
      <c r="BC17" s="1299"/>
      <c r="BD17" s="1258"/>
      <c r="BE17" s="220"/>
      <c r="BF17" s="1283"/>
      <c r="BG17" s="1258"/>
      <c r="BH17" s="220"/>
      <c r="BI17" s="1283"/>
      <c r="BJ17" s="1258"/>
      <c r="BK17" s="218"/>
      <c r="BL17" s="1275"/>
      <c r="BN17" s="1283"/>
      <c r="BO17" s="1258"/>
      <c r="BP17" s="220"/>
      <c r="BQ17" s="1299"/>
      <c r="BR17" s="1258"/>
      <c r="BS17" s="220"/>
      <c r="BT17" s="1283"/>
      <c r="BU17" s="1258"/>
      <c r="BV17" s="220"/>
      <c r="BW17" s="1283"/>
      <c r="BX17" s="1258"/>
      <c r="BY17" s="218"/>
      <c r="BZ17" s="1275"/>
      <c r="CB17" s="1283"/>
      <c r="CC17" s="1258"/>
      <c r="CD17" s="220"/>
      <c r="CE17" s="1299"/>
      <c r="CF17" s="1258"/>
      <c r="CG17" s="220"/>
      <c r="CH17" s="1283"/>
      <c r="CI17" s="1258"/>
      <c r="CJ17" s="220"/>
      <c r="CK17" s="1283"/>
      <c r="CL17" s="1258"/>
      <c r="CM17" s="218"/>
      <c r="CN17" s="1275"/>
    </row>
    <row r="18" spans="2:92" ht="156.75" customHeight="1" x14ac:dyDescent="0.2">
      <c r="B18" s="1345"/>
      <c r="C18" s="1233" t="s">
        <v>1180</v>
      </c>
      <c r="D18" s="1233" t="s">
        <v>1182</v>
      </c>
      <c r="E18" s="1211" t="s">
        <v>1181</v>
      </c>
      <c r="F18" s="1201" t="s">
        <v>330</v>
      </c>
      <c r="G18" s="306" t="str">
        <f>+'Plan de Accion Proyectos estrat'!K21</f>
        <v xml:space="preserve">Estadísticas de registros de las auditorias preventivas por entidad con errores </v>
      </c>
      <c r="H18" s="1262"/>
      <c r="I18" s="220"/>
      <c r="J18" s="1246">
        <f>+'Plan de Accion Proyectos estrat'!AJ21</f>
        <v>0.63703703703703707</v>
      </c>
      <c r="K18" s="1197">
        <f>+'Plan de Accion Proyectos estrat'!BS21</f>
        <v>0.63703703703703707</v>
      </c>
      <c r="L18" s="1197">
        <f>IF(K18&gt;100%,100%,K18)</f>
        <v>0.63703703703703707</v>
      </c>
      <c r="M18" s="1197">
        <f>+'Plan de Accion Proyectos estrat'!AL21</f>
        <v>0.15925925925925927</v>
      </c>
      <c r="N18" s="1197">
        <f>IF(M18&gt;100%,100%,M18)</f>
        <v>0.15925925925925927</v>
      </c>
      <c r="O18" s="1197">
        <f>+N18</f>
        <v>0.15925925925925927</v>
      </c>
      <c r="P18" s="229"/>
      <c r="Q18" s="1246">
        <f>+'Plan de Accion Proyectos estrat'!AT21</f>
        <v>1</v>
      </c>
      <c r="R18" s="1249">
        <f>+'Plan de Accion Proyectos estrat'!BU21</f>
        <v>1</v>
      </c>
      <c r="S18" s="1249">
        <f>IF(R18&gt;100%,100%,R18)</f>
        <v>1</v>
      </c>
      <c r="T18" s="1249">
        <f>+'Plan de Accion Proyectos estrat'!AV21</f>
        <v>0.40925925925925927</v>
      </c>
      <c r="U18" s="1249">
        <f>IF(T18&gt;100%,100%,T18)</f>
        <v>0.40925925925925927</v>
      </c>
      <c r="V18" s="1252">
        <f>+U18</f>
        <v>0.40925925925925927</v>
      </c>
      <c r="W18" s="229"/>
      <c r="X18" s="1246">
        <f>+'Plan de Accion Proyectos estrat'!BD21</f>
        <v>0</v>
      </c>
      <c r="Y18" s="1249">
        <f>+'Plan de Accion Proyectos estrat'!BW21</f>
        <v>0</v>
      </c>
      <c r="Z18" s="1249">
        <f>IF(Y18&gt;100%,100%,Y18)</f>
        <v>0</v>
      </c>
      <c r="AA18" s="1254">
        <f>+'Plan de Accion Proyectos estrat'!AL21</f>
        <v>0.15925925925925927</v>
      </c>
      <c r="AB18" s="1254">
        <f>IF(AA18&gt;100%,100%,AA18)</f>
        <v>0.15925925925925927</v>
      </c>
      <c r="AC18" s="1244">
        <f>+AB18</f>
        <v>0.15925925925925927</v>
      </c>
      <c r="AD18" s="229"/>
      <c r="AE18" s="1246">
        <f>+'Plan de Accion Proyectos estrat'!AT21</f>
        <v>1</v>
      </c>
      <c r="AF18" s="1249">
        <f>+'Plan de Accion Proyectos estrat'!BY21</f>
        <v>0</v>
      </c>
      <c r="AG18" s="1249">
        <f>IF(AF18&gt;100%,100%,AF18)</f>
        <v>0</v>
      </c>
      <c r="AH18" s="1249">
        <f>+'Plan de Accion Proyectos estrat'!BP21</f>
        <v>0.40925925925925927</v>
      </c>
      <c r="AI18" s="1252">
        <f>IF(AH18&gt;100%,100%,AH18)</f>
        <v>0.40925925925925927</v>
      </c>
      <c r="AJ18" s="1256"/>
      <c r="AL18" s="1283"/>
      <c r="AM18" s="1258"/>
      <c r="AN18" s="220"/>
      <c r="AO18" s="1299"/>
      <c r="AP18" s="1258"/>
      <c r="AQ18" s="220"/>
      <c r="AR18" s="1283"/>
      <c r="AS18" s="1258"/>
      <c r="AT18" s="220"/>
      <c r="AU18" s="1283"/>
      <c r="AV18" s="1258"/>
      <c r="AW18" s="218"/>
      <c r="AX18" s="1275"/>
      <c r="AZ18" s="1283"/>
      <c r="BA18" s="1258"/>
      <c r="BB18" s="220"/>
      <c r="BC18" s="1299"/>
      <c r="BD18" s="1258"/>
      <c r="BE18" s="220"/>
      <c r="BF18" s="1283"/>
      <c r="BG18" s="1258"/>
      <c r="BH18" s="220"/>
      <c r="BI18" s="1283"/>
      <c r="BJ18" s="1258"/>
      <c r="BK18" s="218"/>
      <c r="BL18" s="1275"/>
      <c r="BN18" s="1283"/>
      <c r="BO18" s="1258"/>
      <c r="BP18" s="220"/>
      <c r="BQ18" s="1299"/>
      <c r="BR18" s="1258"/>
      <c r="BS18" s="220"/>
      <c r="BT18" s="1283"/>
      <c r="BU18" s="1258"/>
      <c r="BV18" s="220"/>
      <c r="BW18" s="1283"/>
      <c r="BX18" s="1258"/>
      <c r="BY18" s="218"/>
      <c r="BZ18" s="1275"/>
      <c r="CB18" s="1283"/>
      <c r="CC18" s="1258"/>
      <c r="CD18" s="220"/>
      <c r="CE18" s="1299"/>
      <c r="CF18" s="1258"/>
      <c r="CG18" s="220"/>
      <c r="CH18" s="1283"/>
      <c r="CI18" s="1258"/>
      <c r="CJ18" s="220"/>
      <c r="CK18" s="1283"/>
      <c r="CL18" s="1258"/>
      <c r="CM18" s="218"/>
      <c r="CN18" s="1275"/>
    </row>
    <row r="19" spans="2:92" ht="57" x14ac:dyDescent="0.2">
      <c r="B19" s="1345"/>
      <c r="C19" s="1234"/>
      <c r="D19" s="1234"/>
      <c r="E19" s="1212"/>
      <c r="F19" s="1201"/>
      <c r="G19" s="306" t="str">
        <f>+'Plan de Accion Proyectos estrat'!K22</f>
        <v>Informes de auditorias correctivas según resolución 2199 de 2013 y 4894 de 2015</v>
      </c>
      <c r="H19" s="1262"/>
      <c r="I19" s="220"/>
      <c r="J19" s="1247"/>
      <c r="K19" s="1198"/>
      <c r="L19" s="1198"/>
      <c r="M19" s="1198"/>
      <c r="N19" s="1198"/>
      <c r="O19" s="1198"/>
      <c r="P19" s="229"/>
      <c r="Q19" s="1247"/>
      <c r="R19" s="1250"/>
      <c r="S19" s="1250"/>
      <c r="T19" s="1250"/>
      <c r="U19" s="1250"/>
      <c r="V19" s="1281"/>
      <c r="W19" s="229"/>
      <c r="X19" s="1247"/>
      <c r="Y19" s="1250"/>
      <c r="Z19" s="1250"/>
      <c r="AA19" s="1296"/>
      <c r="AB19" s="1296"/>
      <c r="AC19" s="1297"/>
      <c r="AD19" s="229"/>
      <c r="AE19" s="1247"/>
      <c r="AF19" s="1250"/>
      <c r="AG19" s="1250"/>
      <c r="AH19" s="1250"/>
      <c r="AI19" s="1281"/>
      <c r="AJ19" s="1256"/>
      <c r="AL19" s="1283"/>
      <c r="AM19" s="1258"/>
      <c r="AN19" s="220"/>
      <c r="AO19" s="1299"/>
      <c r="AP19" s="1258"/>
      <c r="AQ19" s="220"/>
      <c r="AR19" s="1283"/>
      <c r="AS19" s="1258"/>
      <c r="AT19" s="220"/>
      <c r="AU19" s="1283"/>
      <c r="AV19" s="1258"/>
      <c r="AW19" s="218"/>
      <c r="AX19" s="1275"/>
      <c r="AZ19" s="1283"/>
      <c r="BA19" s="1258"/>
      <c r="BB19" s="220"/>
      <c r="BC19" s="1299"/>
      <c r="BD19" s="1258"/>
      <c r="BE19" s="220"/>
      <c r="BF19" s="1283"/>
      <c r="BG19" s="1258"/>
      <c r="BH19" s="220"/>
      <c r="BI19" s="1283"/>
      <c r="BJ19" s="1258"/>
      <c r="BK19" s="218"/>
      <c r="BL19" s="1275"/>
      <c r="BN19" s="1283"/>
      <c r="BO19" s="1258"/>
      <c r="BP19" s="220"/>
      <c r="BQ19" s="1299"/>
      <c r="BR19" s="1258"/>
      <c r="BS19" s="220"/>
      <c r="BT19" s="1283"/>
      <c r="BU19" s="1258"/>
      <c r="BV19" s="220"/>
      <c r="BW19" s="1283"/>
      <c r="BX19" s="1258"/>
      <c r="BY19" s="218"/>
      <c r="BZ19" s="1275"/>
      <c r="CB19" s="1283"/>
      <c r="CC19" s="1258"/>
      <c r="CD19" s="220"/>
      <c r="CE19" s="1299"/>
      <c r="CF19" s="1258"/>
      <c r="CG19" s="220"/>
      <c r="CH19" s="1283"/>
      <c r="CI19" s="1258"/>
      <c r="CJ19" s="220"/>
      <c r="CK19" s="1283"/>
      <c r="CL19" s="1258"/>
      <c r="CM19" s="218"/>
      <c r="CN19" s="1275"/>
    </row>
    <row r="20" spans="2:92" ht="71.25" x14ac:dyDescent="0.2">
      <c r="B20" s="1345"/>
      <c r="C20" s="1234"/>
      <c r="D20" s="1234"/>
      <c r="E20" s="1212"/>
      <c r="F20" s="1201"/>
      <c r="G20" s="306" t="str">
        <f>+'Plan de Accion Proyectos estrat'!K23</f>
        <v>Depuración de registros de BDUA de acuerdo con solicitudes del MSPS, según resolución 2199 de 2013 y 4894 de 2015</v>
      </c>
      <c r="H20" s="1262"/>
      <c r="I20" s="220"/>
      <c r="J20" s="1247"/>
      <c r="K20" s="1198"/>
      <c r="L20" s="1198"/>
      <c r="M20" s="1198"/>
      <c r="N20" s="1198"/>
      <c r="O20" s="1198"/>
      <c r="P20" s="229"/>
      <c r="Q20" s="1247"/>
      <c r="R20" s="1250"/>
      <c r="S20" s="1250"/>
      <c r="T20" s="1250"/>
      <c r="U20" s="1250"/>
      <c r="V20" s="1281"/>
      <c r="W20" s="229"/>
      <c r="X20" s="1247"/>
      <c r="Y20" s="1250"/>
      <c r="Z20" s="1250"/>
      <c r="AA20" s="1296"/>
      <c r="AB20" s="1296"/>
      <c r="AC20" s="1297"/>
      <c r="AD20" s="229"/>
      <c r="AE20" s="1247"/>
      <c r="AF20" s="1250"/>
      <c r="AG20" s="1250"/>
      <c r="AH20" s="1250"/>
      <c r="AI20" s="1281"/>
      <c r="AJ20" s="1256"/>
      <c r="AL20" s="1283"/>
      <c r="AM20" s="1258"/>
      <c r="AN20" s="220"/>
      <c r="AO20" s="1299"/>
      <c r="AP20" s="1258"/>
      <c r="AQ20" s="220"/>
      <c r="AR20" s="1283"/>
      <c r="AS20" s="1258"/>
      <c r="AT20" s="220"/>
      <c r="AU20" s="1283"/>
      <c r="AV20" s="1258"/>
      <c r="AW20" s="218"/>
      <c r="AX20" s="1275"/>
      <c r="AZ20" s="1283"/>
      <c r="BA20" s="1258"/>
      <c r="BB20" s="220"/>
      <c r="BC20" s="1299"/>
      <c r="BD20" s="1258"/>
      <c r="BE20" s="220"/>
      <c r="BF20" s="1283"/>
      <c r="BG20" s="1258"/>
      <c r="BH20" s="220"/>
      <c r="BI20" s="1283"/>
      <c r="BJ20" s="1258"/>
      <c r="BK20" s="218"/>
      <c r="BL20" s="1275"/>
      <c r="BN20" s="1283"/>
      <c r="BO20" s="1258"/>
      <c r="BP20" s="220"/>
      <c r="BQ20" s="1299"/>
      <c r="BR20" s="1258"/>
      <c r="BS20" s="220"/>
      <c r="BT20" s="1283"/>
      <c r="BU20" s="1258"/>
      <c r="BV20" s="220"/>
      <c r="BW20" s="1283"/>
      <c r="BX20" s="1258"/>
      <c r="BY20" s="218"/>
      <c r="BZ20" s="1275"/>
      <c r="CB20" s="1283"/>
      <c r="CC20" s="1258"/>
      <c r="CD20" s="220"/>
      <c r="CE20" s="1299"/>
      <c r="CF20" s="1258"/>
      <c r="CG20" s="220"/>
      <c r="CH20" s="1283"/>
      <c r="CI20" s="1258"/>
      <c r="CJ20" s="220"/>
      <c r="CK20" s="1283"/>
      <c r="CL20" s="1258"/>
      <c r="CM20" s="218"/>
      <c r="CN20" s="1275"/>
    </row>
    <row r="21" spans="2:92" ht="42.75" x14ac:dyDescent="0.2">
      <c r="B21" s="1345"/>
      <c r="C21" s="1234"/>
      <c r="D21" s="1234"/>
      <c r="E21" s="1212"/>
      <c r="F21" s="1201"/>
      <c r="G21" s="306" t="str">
        <f>+'Plan de Accion Proyectos estrat'!K24</f>
        <v>Apoyo técnico para respuestas a PQRSD relacionadas con BDUA</v>
      </c>
      <c r="H21" s="1262"/>
      <c r="I21" s="220"/>
      <c r="J21" s="1248"/>
      <c r="K21" s="1199"/>
      <c r="L21" s="1199"/>
      <c r="M21" s="1199"/>
      <c r="N21" s="1199"/>
      <c r="O21" s="1199"/>
      <c r="P21" s="229"/>
      <c r="Q21" s="1248"/>
      <c r="R21" s="1251"/>
      <c r="S21" s="1251"/>
      <c r="T21" s="1251"/>
      <c r="U21" s="1251"/>
      <c r="V21" s="1253"/>
      <c r="W21" s="229"/>
      <c r="X21" s="1248"/>
      <c r="Y21" s="1251"/>
      <c r="Z21" s="1251"/>
      <c r="AA21" s="1255"/>
      <c r="AB21" s="1255"/>
      <c r="AC21" s="1245"/>
      <c r="AD21" s="229"/>
      <c r="AE21" s="1248"/>
      <c r="AF21" s="1251"/>
      <c r="AG21" s="1251"/>
      <c r="AH21" s="1251"/>
      <c r="AI21" s="1253"/>
      <c r="AJ21" s="1256"/>
      <c r="AL21" s="1283"/>
      <c r="AM21" s="1258"/>
      <c r="AN21" s="220"/>
      <c r="AO21" s="1299"/>
      <c r="AP21" s="1258"/>
      <c r="AQ21" s="220"/>
      <c r="AR21" s="1283"/>
      <c r="AS21" s="1258"/>
      <c r="AT21" s="220"/>
      <c r="AU21" s="1283"/>
      <c r="AV21" s="1258"/>
      <c r="AW21" s="218"/>
      <c r="AX21" s="1275"/>
      <c r="AZ21" s="1283"/>
      <c r="BA21" s="1258"/>
      <c r="BB21" s="220"/>
      <c r="BC21" s="1299"/>
      <c r="BD21" s="1258"/>
      <c r="BE21" s="220"/>
      <c r="BF21" s="1283"/>
      <c r="BG21" s="1258"/>
      <c r="BH21" s="220"/>
      <c r="BI21" s="1283"/>
      <c r="BJ21" s="1258"/>
      <c r="BK21" s="218"/>
      <c r="BL21" s="1275"/>
      <c r="BN21" s="1283"/>
      <c r="BO21" s="1258"/>
      <c r="BP21" s="220"/>
      <c r="BQ21" s="1299"/>
      <c r="BR21" s="1258"/>
      <c r="BS21" s="220"/>
      <c r="BT21" s="1283"/>
      <c r="BU21" s="1258"/>
      <c r="BV21" s="220"/>
      <c r="BW21" s="1283"/>
      <c r="BX21" s="1258"/>
      <c r="BY21" s="218"/>
      <c r="BZ21" s="1275"/>
      <c r="CB21" s="1283"/>
      <c r="CC21" s="1258"/>
      <c r="CD21" s="220"/>
      <c r="CE21" s="1299"/>
      <c r="CF21" s="1258"/>
      <c r="CG21" s="220"/>
      <c r="CH21" s="1283"/>
      <c r="CI21" s="1258"/>
      <c r="CJ21" s="220"/>
      <c r="CK21" s="1283"/>
      <c r="CL21" s="1258"/>
      <c r="CM21" s="218"/>
      <c r="CN21" s="1275"/>
    </row>
    <row r="22" spans="2:92" ht="57" customHeight="1" x14ac:dyDescent="0.2">
      <c r="B22" s="1345"/>
      <c r="C22" s="1235"/>
      <c r="D22" s="1235"/>
      <c r="E22" s="1213"/>
      <c r="F22" s="1201"/>
      <c r="G22" s="335" t="str">
        <f>+'Plan de Accion Proyectos estrat'!K25</f>
        <v>Apoyo en soporte, desarrollo y mantenimiento e integración de aplicativos misionales</v>
      </c>
      <c r="H22" s="1262"/>
      <c r="I22" s="220"/>
      <c r="J22" s="323">
        <f>+'Plan de Accion Proyectos estrat'!AJ25</f>
        <v>0.18138226171520111</v>
      </c>
      <c r="K22" s="503">
        <f>+'Plan de Accion Proyectos estrat'!BS25</f>
        <v>0.18138226171520111</v>
      </c>
      <c r="L22" s="503">
        <f>IF(K22&gt;100%,100%,K22)</f>
        <v>0.18138226171520111</v>
      </c>
      <c r="M22" s="503">
        <f>+'Plan de Accion Proyectos estrat'!AL25</f>
        <v>4.5345565428800277E-2</v>
      </c>
      <c r="N22" s="503">
        <f t="shared" ref="N22:N31" si="0">IF(M22&gt;100%,100%,M22)</f>
        <v>4.5345565428800277E-2</v>
      </c>
      <c r="O22" s="503">
        <f t="shared" ref="O22:O31" si="1">+N22</f>
        <v>4.5345565428800277E-2</v>
      </c>
      <c r="P22" s="229"/>
      <c r="Q22" s="323">
        <f>+'Plan de Accion Proyectos estrat'!AT25</f>
        <v>0.2540450808733215</v>
      </c>
      <c r="R22" s="324">
        <f>+'Plan de Accion Proyectos estrat'!BU25</f>
        <v>0.2540450808733215</v>
      </c>
      <c r="S22" s="228">
        <f>IF(R22&gt;100%,100%,R22)</f>
        <v>0.2540450808733215</v>
      </c>
      <c r="T22" s="324">
        <f>+'Plan de Accion Proyectos estrat'!AV25</f>
        <v>0.10885683564713065</v>
      </c>
      <c r="U22" s="324">
        <f>IF(T22&gt;100%,100%,T22)</f>
        <v>0.10885683564713065</v>
      </c>
      <c r="V22" s="227">
        <f>+U22</f>
        <v>0.10885683564713065</v>
      </c>
      <c r="W22" s="229"/>
      <c r="X22" s="323">
        <f>+'Plan de Accion Proyectos estrat'!BD25</f>
        <v>0</v>
      </c>
      <c r="Y22" s="324">
        <f>+'Plan de Accion Proyectos estrat'!BW25</f>
        <v>0</v>
      </c>
      <c r="Z22" s="228">
        <f>IF(Y22&gt;100%,100%,Y22)</f>
        <v>0</v>
      </c>
      <c r="AA22" s="309">
        <f>+'Plan de Accion Proyectos estrat'!AL25</f>
        <v>4.5345565428800277E-2</v>
      </c>
      <c r="AB22" s="309">
        <f>IF(AA22&gt;100%,100%,AA22)</f>
        <v>4.5345565428800277E-2</v>
      </c>
      <c r="AC22" s="322">
        <f>+AB22</f>
        <v>4.5345565428800277E-2</v>
      </c>
      <c r="AD22" s="229"/>
      <c r="AE22" s="323">
        <f>+'Plan de Accion Proyectos estrat'!AT25</f>
        <v>0.2540450808733215</v>
      </c>
      <c r="AF22" s="324">
        <f>+'Plan de Accion Proyectos estrat'!BY25</f>
        <v>0</v>
      </c>
      <c r="AG22" s="228">
        <f>IF(AF22&gt;100%,100%,AF22)</f>
        <v>0</v>
      </c>
      <c r="AH22" s="324">
        <f>+'Plan de Accion Proyectos estrat'!BP25</f>
        <v>0.10885683564713065</v>
      </c>
      <c r="AI22" s="227">
        <f>IF(AH22&gt;100%,100%,AH22)</f>
        <v>0.10885683564713065</v>
      </c>
      <c r="AJ22" s="1256"/>
      <c r="AL22" s="1283"/>
      <c r="AM22" s="1258"/>
      <c r="AN22" s="220"/>
      <c r="AO22" s="1299"/>
      <c r="AP22" s="1258"/>
      <c r="AQ22" s="220"/>
      <c r="AR22" s="1283"/>
      <c r="AS22" s="1258"/>
      <c r="AT22" s="220"/>
      <c r="AU22" s="1283"/>
      <c r="AV22" s="1258"/>
      <c r="AW22" s="218"/>
      <c r="AX22" s="1275"/>
      <c r="AZ22" s="1283"/>
      <c r="BA22" s="1258"/>
      <c r="BB22" s="220"/>
      <c r="BC22" s="1299"/>
      <c r="BD22" s="1258"/>
      <c r="BE22" s="220"/>
      <c r="BF22" s="1283"/>
      <c r="BG22" s="1258"/>
      <c r="BH22" s="220"/>
      <c r="BI22" s="1283"/>
      <c r="BJ22" s="1258"/>
      <c r="BK22" s="218"/>
      <c r="BL22" s="1275"/>
      <c r="BN22" s="1283"/>
      <c r="BO22" s="1258"/>
      <c r="BP22" s="220"/>
      <c r="BQ22" s="1299"/>
      <c r="BR22" s="1258"/>
      <c r="BS22" s="220"/>
      <c r="BT22" s="1283"/>
      <c r="BU22" s="1258"/>
      <c r="BV22" s="220"/>
      <c r="BW22" s="1283"/>
      <c r="BX22" s="1258"/>
      <c r="BY22" s="218"/>
      <c r="BZ22" s="1275"/>
      <c r="CB22" s="1283"/>
      <c r="CC22" s="1258"/>
      <c r="CD22" s="220"/>
      <c r="CE22" s="1299"/>
      <c r="CF22" s="1258"/>
      <c r="CG22" s="220"/>
      <c r="CH22" s="1283"/>
      <c r="CI22" s="1258"/>
      <c r="CJ22" s="220"/>
      <c r="CK22" s="1283"/>
      <c r="CL22" s="1258"/>
      <c r="CM22" s="218"/>
      <c r="CN22" s="1275"/>
    </row>
    <row r="23" spans="2:92" ht="85.5" customHeight="1" x14ac:dyDescent="0.2">
      <c r="B23" s="1345"/>
      <c r="C23" s="1337" t="s">
        <v>344</v>
      </c>
      <c r="D23" s="1214" t="s">
        <v>340</v>
      </c>
      <c r="E23" s="1202" t="s">
        <v>12</v>
      </c>
      <c r="F23" s="1202" t="s">
        <v>330</v>
      </c>
      <c r="G23" s="335" t="str">
        <f>+'Plan de Accion Proyectos estrat'!K26</f>
        <v>Proceso de saneamiento de aportes ejecutado</v>
      </c>
      <c r="H23" s="1262"/>
      <c r="I23" s="220"/>
      <c r="J23" s="323">
        <f>+'Plan de Accion Proyectos estrat'!AJ26</f>
        <v>0.75555556883105812</v>
      </c>
      <c r="K23" s="503">
        <f>+'Plan de Accion Proyectos estrat'!BS26</f>
        <v>0.75555556883105812</v>
      </c>
      <c r="L23" s="503">
        <f>IF(K23&gt;100%,100%,K23)</f>
        <v>0.75555556883105812</v>
      </c>
      <c r="M23" s="503">
        <f>+'Plan de Accion Proyectos estrat'!AL26</f>
        <v>0.18888889220776453</v>
      </c>
      <c r="N23" s="503">
        <f t="shared" si="0"/>
        <v>0.18888889220776453</v>
      </c>
      <c r="O23" s="503">
        <f t="shared" si="1"/>
        <v>0.18888889220776453</v>
      </c>
      <c r="P23" s="229"/>
      <c r="Q23" s="323">
        <f>+'Plan de Accion Proyectos estrat'!AT26</f>
        <v>1</v>
      </c>
      <c r="R23" s="324">
        <f>+'Plan de Accion Proyectos estrat'!BU26</f>
        <v>1</v>
      </c>
      <c r="S23" s="228">
        <f>IF(R23&gt;100%,100%,R23)</f>
        <v>1</v>
      </c>
      <c r="T23" s="324">
        <f>+'Plan de Accion Proyectos estrat'!AV26</f>
        <v>0.43888889220776456</v>
      </c>
      <c r="U23" s="324">
        <f>IF(T23&gt;100%,100%,T23)</f>
        <v>0.43888889220776456</v>
      </c>
      <c r="V23" s="227">
        <f>+U23</f>
        <v>0.43888889220776456</v>
      </c>
      <c r="W23" s="229"/>
      <c r="X23" s="323">
        <f>+'Plan de Accion Proyectos estrat'!BD26</f>
        <v>0</v>
      </c>
      <c r="Y23" s="324">
        <f>+'Plan de Accion Proyectos estrat'!BW26</f>
        <v>0</v>
      </c>
      <c r="Z23" s="228">
        <f>IF(Y23&gt;100%,100%,Y23)</f>
        <v>0</v>
      </c>
      <c r="AA23" s="309">
        <f>+'Plan de Accion Proyectos estrat'!AL26</f>
        <v>0.18888889220776453</v>
      </c>
      <c r="AB23" s="309">
        <f>IF(AA23&gt;100%,100%,AA23)</f>
        <v>0.18888889220776453</v>
      </c>
      <c r="AC23" s="322">
        <f>+AB23</f>
        <v>0.18888889220776453</v>
      </c>
      <c r="AD23" s="229"/>
      <c r="AE23" s="323">
        <f>+'Plan de Accion Proyectos estrat'!AT26</f>
        <v>1</v>
      </c>
      <c r="AF23" s="324">
        <f>+'Plan de Accion Proyectos estrat'!BY26</f>
        <v>0</v>
      </c>
      <c r="AG23" s="228">
        <f>IF(AF23&gt;100%,100%,AF23)</f>
        <v>0</v>
      </c>
      <c r="AH23" s="324">
        <f>+'Plan de Accion Proyectos estrat'!BP26</f>
        <v>0.43888889220776456</v>
      </c>
      <c r="AI23" s="227">
        <f>IF(AH23&gt;100%,100%,AH23)</f>
        <v>0.43888889220776456</v>
      </c>
      <c r="AJ23" s="1256"/>
      <c r="AL23" s="1283"/>
      <c r="AM23" s="1258"/>
      <c r="AN23" s="220"/>
      <c r="AO23" s="1299"/>
      <c r="AP23" s="1258"/>
      <c r="AQ23" s="220"/>
      <c r="AR23" s="1283"/>
      <c r="AS23" s="1258"/>
      <c r="AT23" s="220"/>
      <c r="AU23" s="1283"/>
      <c r="AV23" s="1258"/>
      <c r="AW23" s="218"/>
      <c r="AX23" s="1275"/>
      <c r="AZ23" s="1283"/>
      <c r="BA23" s="1258"/>
      <c r="BB23" s="220"/>
      <c r="BC23" s="1299"/>
      <c r="BD23" s="1258"/>
      <c r="BE23" s="220"/>
      <c r="BF23" s="1283"/>
      <c r="BG23" s="1258"/>
      <c r="BH23" s="220"/>
      <c r="BI23" s="1283"/>
      <c r="BJ23" s="1258"/>
      <c r="BK23" s="218"/>
      <c r="BL23" s="1275"/>
      <c r="BN23" s="1283"/>
      <c r="BO23" s="1258"/>
      <c r="BP23" s="220"/>
      <c r="BQ23" s="1299"/>
      <c r="BR23" s="1258"/>
      <c r="BS23" s="220"/>
      <c r="BT23" s="1283"/>
      <c r="BU23" s="1258"/>
      <c r="BV23" s="220"/>
      <c r="BW23" s="1283"/>
      <c r="BX23" s="1258"/>
      <c r="BY23" s="218"/>
      <c r="BZ23" s="1275"/>
      <c r="CB23" s="1283"/>
      <c r="CC23" s="1258"/>
      <c r="CD23" s="220"/>
      <c r="CE23" s="1299"/>
      <c r="CF23" s="1258"/>
      <c r="CG23" s="220"/>
      <c r="CH23" s="1283"/>
      <c r="CI23" s="1258"/>
      <c r="CJ23" s="220"/>
      <c r="CK23" s="1283"/>
      <c r="CL23" s="1258"/>
      <c r="CM23" s="218"/>
      <c r="CN23" s="1275"/>
    </row>
    <row r="24" spans="2:92" ht="42.75" x14ac:dyDescent="0.2">
      <c r="B24" s="1345"/>
      <c r="C24" s="1338"/>
      <c r="D24" s="1215"/>
      <c r="E24" s="1210"/>
      <c r="F24" s="1210"/>
      <c r="G24" s="335" t="str">
        <f>+'Plan de Accion Proyectos estrat'!K27</f>
        <v>Procesos optimizados mediante desarrollos o ajustes tecnológicos</v>
      </c>
      <c r="H24" s="1262"/>
      <c r="I24" s="220"/>
      <c r="J24" s="323">
        <f>+'Plan de Accion Proyectos estrat'!AJ27</f>
        <v>0</v>
      </c>
      <c r="K24" s="503">
        <f>+'Plan de Accion Proyectos estrat'!BS27</f>
        <v>0</v>
      </c>
      <c r="L24" s="503">
        <f t="shared" ref="L24:L31" si="2">IF(K24&gt;100%,100%,K24)</f>
        <v>0</v>
      </c>
      <c r="M24" s="503">
        <f>+'Plan de Accion Proyectos estrat'!AL27</f>
        <v>0</v>
      </c>
      <c r="N24" s="503">
        <f t="shared" si="0"/>
        <v>0</v>
      </c>
      <c r="O24" s="503">
        <f t="shared" si="1"/>
        <v>0</v>
      </c>
      <c r="P24" s="229"/>
      <c r="Q24" s="323">
        <f>+'Plan de Accion Proyectos estrat'!AT27</f>
        <v>0.68013667944235168</v>
      </c>
      <c r="R24" s="324">
        <f>+'Plan de Accion Proyectos estrat'!BU27</f>
        <v>0.68013667944235168</v>
      </c>
      <c r="S24" s="228">
        <f t="shared" ref="S24:S31" si="3">IF(R24&gt;100%,100%,R24)</f>
        <v>0.68013667944235168</v>
      </c>
      <c r="T24" s="324">
        <f>+'Plan de Accion Proyectos estrat'!AV27</f>
        <v>0.17003416986058792</v>
      </c>
      <c r="U24" s="324">
        <f t="shared" ref="U24:U31" si="4">IF(T24&gt;100%,100%,T24)</f>
        <v>0.17003416986058792</v>
      </c>
      <c r="V24" s="227">
        <f t="shared" ref="V24:V31" si="5">+U24</f>
        <v>0.17003416986058792</v>
      </c>
      <c r="W24" s="229"/>
      <c r="X24" s="323">
        <f>+'Plan de Accion Proyectos estrat'!BD27</f>
        <v>0</v>
      </c>
      <c r="Y24" s="324">
        <f>+'Plan de Accion Proyectos estrat'!BW27</f>
        <v>0</v>
      </c>
      <c r="Z24" s="228">
        <f t="shared" ref="Z24:Z31" si="6">IF(Y24&gt;100%,100%,Y24)</f>
        <v>0</v>
      </c>
      <c r="AA24" s="309">
        <f>+'Plan de Accion Proyectos estrat'!AL27</f>
        <v>0</v>
      </c>
      <c r="AB24" s="309">
        <f t="shared" ref="AB24:AB31" si="7">IF(AA24&gt;100%,100%,AA24)</f>
        <v>0</v>
      </c>
      <c r="AC24" s="322">
        <f t="shared" ref="AC24:AC31" si="8">+AB24</f>
        <v>0</v>
      </c>
      <c r="AD24" s="229"/>
      <c r="AE24" s="323">
        <f>+'Plan de Accion Proyectos estrat'!AT27</f>
        <v>0.68013667944235168</v>
      </c>
      <c r="AF24" s="324">
        <f>+'Plan de Accion Proyectos estrat'!BY27</f>
        <v>0</v>
      </c>
      <c r="AG24" s="228">
        <f t="shared" ref="AG24:AG35" si="9">IF(AF24&gt;100%,100%,AF24)</f>
        <v>0</v>
      </c>
      <c r="AH24" s="324">
        <f>+'Plan de Accion Proyectos estrat'!BP27</f>
        <v>0.17003416986058792</v>
      </c>
      <c r="AI24" s="227">
        <f t="shared" ref="AI24:AI31" si="10">IF(AH24&gt;100%,100%,AH24)</f>
        <v>0.17003416986058792</v>
      </c>
      <c r="AJ24" s="1256"/>
      <c r="AL24" s="1283"/>
      <c r="AM24" s="1258"/>
      <c r="AN24" s="220"/>
      <c r="AO24" s="1299"/>
      <c r="AP24" s="1258"/>
      <c r="AQ24" s="220"/>
      <c r="AR24" s="1283"/>
      <c r="AS24" s="1258"/>
      <c r="AT24" s="220"/>
      <c r="AU24" s="1283"/>
      <c r="AV24" s="1258"/>
      <c r="AW24" s="218"/>
      <c r="AX24" s="1275"/>
      <c r="AZ24" s="1283"/>
      <c r="BA24" s="1258"/>
      <c r="BB24" s="220"/>
      <c r="BC24" s="1299"/>
      <c r="BD24" s="1258"/>
      <c r="BE24" s="220"/>
      <c r="BF24" s="1283"/>
      <c r="BG24" s="1258"/>
      <c r="BH24" s="220"/>
      <c r="BI24" s="1283"/>
      <c r="BJ24" s="1258"/>
      <c r="BK24" s="218"/>
      <c r="BL24" s="1275"/>
      <c r="BN24" s="1283"/>
      <c r="BO24" s="1258"/>
      <c r="BP24" s="220"/>
      <c r="BQ24" s="1299"/>
      <c r="BR24" s="1258"/>
      <c r="BS24" s="220"/>
      <c r="BT24" s="1283"/>
      <c r="BU24" s="1258"/>
      <c r="BV24" s="220"/>
      <c r="BW24" s="1283"/>
      <c r="BX24" s="1258"/>
      <c r="BY24" s="218"/>
      <c r="BZ24" s="1275"/>
      <c r="CB24" s="1283"/>
      <c r="CC24" s="1258"/>
      <c r="CD24" s="220"/>
      <c r="CE24" s="1299"/>
      <c r="CF24" s="1258"/>
      <c r="CG24" s="220"/>
      <c r="CH24" s="1283"/>
      <c r="CI24" s="1258"/>
      <c r="CJ24" s="220"/>
      <c r="CK24" s="1283"/>
      <c r="CL24" s="1258"/>
      <c r="CM24" s="218"/>
      <c r="CN24" s="1275"/>
    </row>
    <row r="25" spans="2:92" ht="71.25" x14ac:dyDescent="0.2">
      <c r="B25" s="1345"/>
      <c r="C25" s="1338"/>
      <c r="D25" s="1215"/>
      <c r="E25" s="1210"/>
      <c r="F25" s="1210"/>
      <c r="G25" s="335" t="str">
        <f>+'Plan de Accion Proyectos estrat'!K28</f>
        <v>Controles de los procesos de liquidación y reconocimiento de UPC y de prestaciones económicas verificados y ajustados</v>
      </c>
      <c r="H25" s="1262"/>
      <c r="I25" s="220"/>
      <c r="J25" s="323">
        <f>+'Plan de Accion Proyectos estrat'!AJ28</f>
        <v>0.53684281288191593</v>
      </c>
      <c r="K25" s="503">
        <f>+'Plan de Accion Proyectos estrat'!BS28</f>
        <v>0.53684281288191593</v>
      </c>
      <c r="L25" s="503">
        <f t="shared" si="2"/>
        <v>0.53684281288191593</v>
      </c>
      <c r="M25" s="503">
        <f>+'Plan de Accion Proyectos estrat'!AL28</f>
        <v>0.13421070322047898</v>
      </c>
      <c r="N25" s="503">
        <f t="shared" si="0"/>
        <v>0.13421070322047898</v>
      </c>
      <c r="O25" s="503">
        <f t="shared" si="1"/>
        <v>0.13421070322047898</v>
      </c>
      <c r="P25" s="229"/>
      <c r="Q25" s="323">
        <f>+'Plan de Accion Proyectos estrat'!AT28</f>
        <v>0.76691829700760794</v>
      </c>
      <c r="R25" s="324">
        <f>+'Plan de Accion Proyectos estrat'!BU28</f>
        <v>0.76691829700760794</v>
      </c>
      <c r="S25" s="228">
        <f t="shared" si="3"/>
        <v>0.76691829700760794</v>
      </c>
      <c r="T25" s="324">
        <f>+'Plan de Accion Proyectos estrat'!AV28</f>
        <v>0.32594027747238097</v>
      </c>
      <c r="U25" s="324">
        <f t="shared" si="4"/>
        <v>0.32594027747238097</v>
      </c>
      <c r="V25" s="227">
        <f t="shared" si="5"/>
        <v>0.32594027747238097</v>
      </c>
      <c r="W25" s="229"/>
      <c r="X25" s="323">
        <f>+'Plan de Accion Proyectos estrat'!BD28</f>
        <v>0</v>
      </c>
      <c r="Y25" s="324">
        <f>+'Plan de Accion Proyectos estrat'!BW28</f>
        <v>0</v>
      </c>
      <c r="Z25" s="228">
        <f t="shared" si="6"/>
        <v>0</v>
      </c>
      <c r="AA25" s="309">
        <f>+'Plan de Accion Proyectos estrat'!AL28</f>
        <v>0.13421070322047898</v>
      </c>
      <c r="AB25" s="309">
        <f t="shared" si="7"/>
        <v>0.13421070322047898</v>
      </c>
      <c r="AC25" s="322">
        <f t="shared" si="8"/>
        <v>0.13421070322047898</v>
      </c>
      <c r="AD25" s="229"/>
      <c r="AE25" s="323">
        <f>+'Plan de Accion Proyectos estrat'!AT28</f>
        <v>0.76691829700760794</v>
      </c>
      <c r="AF25" s="324">
        <f>+'Plan de Accion Proyectos estrat'!BY28</f>
        <v>0</v>
      </c>
      <c r="AG25" s="228">
        <f t="shared" si="9"/>
        <v>0</v>
      </c>
      <c r="AH25" s="324">
        <f>+'Plan de Accion Proyectos estrat'!BP28</f>
        <v>0.32594027747238097</v>
      </c>
      <c r="AI25" s="227">
        <f t="shared" si="10"/>
        <v>0.32594027747238097</v>
      </c>
      <c r="AJ25" s="1256"/>
      <c r="AL25" s="1283"/>
      <c r="AM25" s="1258"/>
      <c r="AN25" s="220"/>
      <c r="AO25" s="1299"/>
      <c r="AP25" s="1258"/>
      <c r="AQ25" s="220"/>
      <c r="AR25" s="1283"/>
      <c r="AS25" s="1258"/>
      <c r="AT25" s="220"/>
      <c r="AU25" s="1283"/>
      <c r="AV25" s="1258"/>
      <c r="AW25" s="218"/>
      <c r="AX25" s="1275"/>
      <c r="AZ25" s="1283"/>
      <c r="BA25" s="1258"/>
      <c r="BB25" s="220"/>
      <c r="BC25" s="1299"/>
      <c r="BD25" s="1258"/>
      <c r="BE25" s="220"/>
      <c r="BF25" s="1283"/>
      <c r="BG25" s="1258"/>
      <c r="BH25" s="220"/>
      <c r="BI25" s="1283"/>
      <c r="BJ25" s="1258"/>
      <c r="BK25" s="218"/>
      <c r="BL25" s="1275"/>
      <c r="BN25" s="1283"/>
      <c r="BO25" s="1258"/>
      <c r="BP25" s="220"/>
      <c r="BQ25" s="1299"/>
      <c r="BR25" s="1258"/>
      <c r="BS25" s="220"/>
      <c r="BT25" s="1283"/>
      <c r="BU25" s="1258"/>
      <c r="BV25" s="220"/>
      <c r="BW25" s="1283"/>
      <c r="BX25" s="1258"/>
      <c r="BY25" s="218"/>
      <c r="BZ25" s="1275"/>
      <c r="CB25" s="1283"/>
      <c r="CC25" s="1258"/>
      <c r="CD25" s="220"/>
      <c r="CE25" s="1299"/>
      <c r="CF25" s="1258"/>
      <c r="CG25" s="220"/>
      <c r="CH25" s="1283"/>
      <c r="CI25" s="1258"/>
      <c r="CJ25" s="220"/>
      <c r="CK25" s="1283"/>
      <c r="CL25" s="1258"/>
      <c r="CM25" s="218"/>
      <c r="CN25" s="1275"/>
    </row>
    <row r="26" spans="2:92" ht="37.5" customHeight="1" x14ac:dyDescent="0.2">
      <c r="B26" s="1345"/>
      <c r="C26" s="1338"/>
      <c r="D26" s="1215"/>
      <c r="E26" s="1210"/>
      <c r="F26" s="1210"/>
      <c r="G26" s="335" t="str">
        <f>+'Plan de Accion Proyectos estrat'!K29</f>
        <v>Proceso de Compensación ejecutado</v>
      </c>
      <c r="H26" s="1262"/>
      <c r="I26" s="220"/>
      <c r="J26" s="323">
        <f>+'Plan de Accion Proyectos estrat'!AJ29</f>
        <v>0.47486723147428367</v>
      </c>
      <c r="K26" s="503">
        <f>+'Plan de Accion Proyectos estrat'!BS29</f>
        <v>0.47486723147428367</v>
      </c>
      <c r="L26" s="503">
        <f t="shared" si="2"/>
        <v>0.47486723147428367</v>
      </c>
      <c r="M26" s="503">
        <f>+'Plan de Accion Proyectos estrat'!AL29</f>
        <v>0.11871680786857092</v>
      </c>
      <c r="N26" s="503">
        <f t="shared" si="0"/>
        <v>0.11871680786857092</v>
      </c>
      <c r="O26" s="503">
        <f t="shared" si="1"/>
        <v>0.11871680786857092</v>
      </c>
      <c r="P26" s="229"/>
      <c r="Q26" s="323">
        <f>+'Plan de Accion Proyectos estrat'!AT29</f>
        <v>0.64212385146162543</v>
      </c>
      <c r="R26" s="324">
        <f>+'Plan de Accion Proyectos estrat'!BU29</f>
        <v>0.64212385146162543</v>
      </c>
      <c r="S26" s="228">
        <f t="shared" si="3"/>
        <v>0.64212385146162543</v>
      </c>
      <c r="T26" s="324">
        <f>+'Plan de Accion Proyectos estrat'!AV29</f>
        <v>0.27924777073397727</v>
      </c>
      <c r="U26" s="324">
        <f t="shared" si="4"/>
        <v>0.27924777073397727</v>
      </c>
      <c r="V26" s="227">
        <f t="shared" si="5"/>
        <v>0.27924777073397727</v>
      </c>
      <c r="W26" s="229"/>
      <c r="X26" s="323">
        <f>+'Plan de Accion Proyectos estrat'!BD29</f>
        <v>0</v>
      </c>
      <c r="Y26" s="324">
        <f>+'Plan de Accion Proyectos estrat'!BW29</f>
        <v>0</v>
      </c>
      <c r="Z26" s="228">
        <f t="shared" si="6"/>
        <v>0</v>
      </c>
      <c r="AA26" s="309">
        <f>+'Plan de Accion Proyectos estrat'!AL29</f>
        <v>0.11871680786857092</v>
      </c>
      <c r="AB26" s="309">
        <f t="shared" si="7"/>
        <v>0.11871680786857092</v>
      </c>
      <c r="AC26" s="322">
        <f t="shared" si="8"/>
        <v>0.11871680786857092</v>
      </c>
      <c r="AD26" s="229"/>
      <c r="AE26" s="323">
        <f>+'Plan de Accion Proyectos estrat'!AT29</f>
        <v>0.64212385146162543</v>
      </c>
      <c r="AF26" s="324">
        <f>+'Plan de Accion Proyectos estrat'!BY29</f>
        <v>0</v>
      </c>
      <c r="AG26" s="228">
        <f t="shared" si="9"/>
        <v>0</v>
      </c>
      <c r="AH26" s="324">
        <f>+'Plan de Accion Proyectos estrat'!BP29</f>
        <v>0.27924777073397727</v>
      </c>
      <c r="AI26" s="227">
        <f t="shared" si="10"/>
        <v>0.27924777073397727</v>
      </c>
      <c r="AJ26" s="1256"/>
      <c r="AL26" s="1283"/>
      <c r="AM26" s="1258"/>
      <c r="AN26" s="220"/>
      <c r="AO26" s="1299"/>
      <c r="AP26" s="1258"/>
      <c r="AQ26" s="220"/>
      <c r="AR26" s="1283"/>
      <c r="AS26" s="1258"/>
      <c r="AT26" s="220"/>
      <c r="AU26" s="1283"/>
      <c r="AV26" s="1258"/>
      <c r="AW26" s="218"/>
      <c r="AX26" s="1275"/>
      <c r="AZ26" s="1283"/>
      <c r="BA26" s="1258"/>
      <c r="BB26" s="220"/>
      <c r="BC26" s="1299"/>
      <c r="BD26" s="1258"/>
      <c r="BE26" s="220"/>
      <c r="BF26" s="1283"/>
      <c r="BG26" s="1258"/>
      <c r="BH26" s="220"/>
      <c r="BI26" s="1283"/>
      <c r="BJ26" s="1258"/>
      <c r="BK26" s="218"/>
      <c r="BL26" s="1275"/>
      <c r="BN26" s="1283"/>
      <c r="BO26" s="1258"/>
      <c r="BP26" s="220"/>
      <c r="BQ26" s="1299"/>
      <c r="BR26" s="1258"/>
      <c r="BS26" s="220"/>
      <c r="BT26" s="1283"/>
      <c r="BU26" s="1258"/>
      <c r="BV26" s="220"/>
      <c r="BW26" s="1283"/>
      <c r="BX26" s="1258"/>
      <c r="BY26" s="218"/>
      <c r="BZ26" s="1275"/>
      <c r="CB26" s="1283"/>
      <c r="CC26" s="1258"/>
      <c r="CD26" s="220"/>
      <c r="CE26" s="1299"/>
      <c r="CF26" s="1258"/>
      <c r="CG26" s="220"/>
      <c r="CH26" s="1283"/>
      <c r="CI26" s="1258"/>
      <c r="CJ26" s="220"/>
      <c r="CK26" s="1283"/>
      <c r="CL26" s="1258"/>
      <c r="CM26" s="218"/>
      <c r="CN26" s="1275"/>
    </row>
    <row r="27" spans="2:92" ht="28.5" x14ac:dyDescent="0.2">
      <c r="B27" s="1345"/>
      <c r="C27" s="1338"/>
      <c r="D27" s="1215"/>
      <c r="E27" s="1210"/>
      <c r="F27" s="1210"/>
      <c r="G27" s="335" t="str">
        <f>+'Plan de Accion Proyectos estrat'!K30</f>
        <v>Prestaciones económicas REX</v>
      </c>
      <c r="H27" s="1262"/>
      <c r="I27" s="220"/>
      <c r="J27" s="323">
        <f>+'Plan de Accion Proyectos estrat'!AJ30</f>
        <v>0.67777777994080279</v>
      </c>
      <c r="K27" s="503">
        <f>+'Plan de Accion Proyectos estrat'!BS30</f>
        <v>0.67777777994080279</v>
      </c>
      <c r="L27" s="503">
        <f>IF(K27&gt;100%,100%,K27)</f>
        <v>0.67777777994080279</v>
      </c>
      <c r="M27" s="503">
        <f>+'Plan de Accion Proyectos estrat'!AL30</f>
        <v>0.1694444449852007</v>
      </c>
      <c r="N27" s="503">
        <f t="shared" si="0"/>
        <v>0.1694444449852007</v>
      </c>
      <c r="O27" s="503">
        <f t="shared" si="1"/>
        <v>0.1694444449852007</v>
      </c>
      <c r="P27" s="229"/>
      <c r="Q27" s="323">
        <f>+'Plan de Accion Proyectos estrat'!AT30</f>
        <v>1</v>
      </c>
      <c r="R27" s="324">
        <f>+'Plan de Accion Proyectos estrat'!BU30</f>
        <v>1</v>
      </c>
      <c r="S27" s="228">
        <f t="shared" si="3"/>
        <v>1</v>
      </c>
      <c r="T27" s="324">
        <f>+'Plan de Accion Proyectos estrat'!AV30</f>
        <v>0.41944444498520067</v>
      </c>
      <c r="U27" s="324">
        <f t="shared" si="4"/>
        <v>0.41944444498520067</v>
      </c>
      <c r="V27" s="227">
        <f t="shared" si="5"/>
        <v>0.41944444498520067</v>
      </c>
      <c r="W27" s="229"/>
      <c r="X27" s="323">
        <f>+'Plan de Accion Proyectos estrat'!BD30</f>
        <v>0</v>
      </c>
      <c r="Y27" s="324">
        <f>+'Plan de Accion Proyectos estrat'!BW30</f>
        <v>0</v>
      </c>
      <c r="Z27" s="228">
        <f t="shared" si="6"/>
        <v>0</v>
      </c>
      <c r="AA27" s="309">
        <f>+'Plan de Accion Proyectos estrat'!AL30</f>
        <v>0.1694444449852007</v>
      </c>
      <c r="AB27" s="309">
        <f t="shared" si="7"/>
        <v>0.1694444449852007</v>
      </c>
      <c r="AC27" s="322">
        <f t="shared" si="8"/>
        <v>0.1694444449852007</v>
      </c>
      <c r="AD27" s="229"/>
      <c r="AE27" s="323">
        <f>+'Plan de Accion Proyectos estrat'!AT30</f>
        <v>1</v>
      </c>
      <c r="AF27" s="324">
        <f>+'Plan de Accion Proyectos estrat'!BY30</f>
        <v>0</v>
      </c>
      <c r="AG27" s="228">
        <f t="shared" si="9"/>
        <v>0</v>
      </c>
      <c r="AH27" s="324">
        <f>+'Plan de Accion Proyectos estrat'!BP30</f>
        <v>0.41944444498520067</v>
      </c>
      <c r="AI27" s="227">
        <f t="shared" si="10"/>
        <v>0.41944444498520067</v>
      </c>
      <c r="AJ27" s="1256"/>
      <c r="AL27" s="1283"/>
      <c r="AM27" s="1258"/>
      <c r="AN27" s="220"/>
      <c r="AO27" s="1299"/>
      <c r="AP27" s="1258"/>
      <c r="AQ27" s="220"/>
      <c r="AR27" s="1283"/>
      <c r="AS27" s="1258"/>
      <c r="AT27" s="220"/>
      <c r="AU27" s="1283"/>
      <c r="AV27" s="1258"/>
      <c r="AW27" s="218"/>
      <c r="AX27" s="1275"/>
      <c r="AZ27" s="1283"/>
      <c r="BA27" s="1258"/>
      <c r="BB27" s="220"/>
      <c r="BC27" s="1299"/>
      <c r="BD27" s="1258"/>
      <c r="BE27" s="220"/>
      <c r="BF27" s="1283"/>
      <c r="BG27" s="1258"/>
      <c r="BH27" s="220"/>
      <c r="BI27" s="1283"/>
      <c r="BJ27" s="1258"/>
      <c r="BK27" s="218"/>
      <c r="BL27" s="1275"/>
      <c r="BN27" s="1283"/>
      <c r="BO27" s="1258"/>
      <c r="BP27" s="220"/>
      <c r="BQ27" s="1299"/>
      <c r="BR27" s="1258"/>
      <c r="BS27" s="220"/>
      <c r="BT27" s="1283"/>
      <c r="BU27" s="1258"/>
      <c r="BV27" s="220"/>
      <c r="BW27" s="1283"/>
      <c r="BX27" s="1258"/>
      <c r="BY27" s="218"/>
      <c r="BZ27" s="1275"/>
      <c r="CB27" s="1283"/>
      <c r="CC27" s="1258"/>
      <c r="CD27" s="220"/>
      <c r="CE27" s="1299"/>
      <c r="CF27" s="1258"/>
      <c r="CG27" s="220"/>
      <c r="CH27" s="1283"/>
      <c r="CI27" s="1258"/>
      <c r="CJ27" s="220"/>
      <c r="CK27" s="1283"/>
      <c r="CL27" s="1258"/>
      <c r="CM27" s="218"/>
      <c r="CN27" s="1275"/>
    </row>
    <row r="28" spans="2:92" ht="28.5" x14ac:dyDescent="0.2">
      <c r="B28" s="1345"/>
      <c r="C28" s="1339"/>
      <c r="D28" s="1216"/>
      <c r="E28" s="1203"/>
      <c r="F28" s="1203"/>
      <c r="G28" s="506" t="str">
        <f>+'Plan de Accion Proyectos estrat'!K31</f>
        <v>Devoluciones económicas REX</v>
      </c>
      <c r="H28" s="1262"/>
      <c r="I28" s="220"/>
      <c r="J28" s="504">
        <f>+'Plan de Accion Proyectos estrat'!AJ31</f>
        <v>0.67777777994080279</v>
      </c>
      <c r="K28" s="503">
        <f>+'Plan de Accion Proyectos estrat'!BS31</f>
        <v>0.67777777994080279</v>
      </c>
      <c r="L28" s="503">
        <f>IF(K28&gt;100%,100%,K28)</f>
        <v>0.67777777994080279</v>
      </c>
      <c r="M28" s="503">
        <f>+'Plan de Accion Proyectos estrat'!AL31</f>
        <v>0.1694444449852007</v>
      </c>
      <c r="N28" s="503">
        <f t="shared" si="0"/>
        <v>0.1694444449852007</v>
      </c>
      <c r="O28" s="503">
        <f>+N28</f>
        <v>0.1694444449852007</v>
      </c>
      <c r="P28" s="229"/>
      <c r="Q28" s="504">
        <f>+'Plan de Accion Proyectos estrat'!AT31</f>
        <v>1</v>
      </c>
      <c r="R28" s="503">
        <f>+'Plan de Accion Proyectos estrat'!BU31</f>
        <v>1</v>
      </c>
      <c r="S28" s="228">
        <f>IF(R28&gt;100%,100%,R28)</f>
        <v>1</v>
      </c>
      <c r="T28" s="503">
        <f>+'Plan de Accion Proyectos estrat'!AV31</f>
        <v>0.41944444498520067</v>
      </c>
      <c r="U28" s="503">
        <f>IF(T28&gt;100%,100%,T28)</f>
        <v>0.41944444498520067</v>
      </c>
      <c r="V28" s="227">
        <f>+U28</f>
        <v>0.41944444498520067</v>
      </c>
      <c r="W28" s="229"/>
      <c r="X28" s="504">
        <f>+'Plan de Accion Proyectos estrat'!BD31</f>
        <v>0</v>
      </c>
      <c r="Y28" s="503">
        <f>+'Plan de Accion Proyectos estrat'!BW31</f>
        <v>0</v>
      </c>
      <c r="Z28" s="228">
        <f>IF(Y28&gt;100%,100%,Y28)</f>
        <v>0</v>
      </c>
      <c r="AA28" s="309">
        <f>+'Plan de Accion Proyectos estrat'!AL31</f>
        <v>0.1694444449852007</v>
      </c>
      <c r="AB28" s="309">
        <f>IF(AA28&gt;100%,100%,AA28)</f>
        <v>0.1694444449852007</v>
      </c>
      <c r="AC28" s="507">
        <f>+AB28</f>
        <v>0.1694444449852007</v>
      </c>
      <c r="AD28" s="229"/>
      <c r="AE28" s="504">
        <f>+'Plan de Accion Proyectos estrat'!AT31</f>
        <v>1</v>
      </c>
      <c r="AF28" s="503">
        <f>+'Plan de Accion Proyectos estrat'!BY31</f>
        <v>0</v>
      </c>
      <c r="AG28" s="228">
        <f>IF(AF28&gt;100%,100%,AF28)</f>
        <v>0</v>
      </c>
      <c r="AH28" s="503">
        <f>+'Plan de Accion Proyectos estrat'!BP31</f>
        <v>0.41944444498520067</v>
      </c>
      <c r="AI28" s="227">
        <f>IF(AH28&gt;100%,100%,AH28)</f>
        <v>0.41944444498520067</v>
      </c>
      <c r="AJ28" s="1256"/>
      <c r="AL28" s="1283"/>
      <c r="AM28" s="1258"/>
      <c r="AN28" s="220"/>
      <c r="AO28" s="1299"/>
      <c r="AP28" s="1258"/>
      <c r="AQ28" s="220"/>
      <c r="AR28" s="1283"/>
      <c r="AS28" s="1258"/>
      <c r="AT28" s="220"/>
      <c r="AU28" s="1283"/>
      <c r="AV28" s="1258"/>
      <c r="AW28" s="218"/>
      <c r="AX28" s="1275"/>
      <c r="AZ28" s="1283"/>
      <c r="BA28" s="1258"/>
      <c r="BB28" s="220"/>
      <c r="BC28" s="1299"/>
      <c r="BD28" s="1258"/>
      <c r="BE28" s="220"/>
      <c r="BF28" s="1283"/>
      <c r="BG28" s="1258"/>
      <c r="BH28" s="220"/>
      <c r="BI28" s="1283"/>
      <c r="BJ28" s="1258"/>
      <c r="BK28" s="218"/>
      <c r="BL28" s="1275"/>
      <c r="BN28" s="1283"/>
      <c r="BO28" s="1258"/>
      <c r="BP28" s="220"/>
      <c r="BQ28" s="1299"/>
      <c r="BR28" s="1258"/>
      <c r="BS28" s="220"/>
      <c r="BT28" s="1283"/>
      <c r="BU28" s="1258"/>
      <c r="BV28" s="220"/>
      <c r="BW28" s="1283"/>
      <c r="BX28" s="1258"/>
      <c r="BY28" s="218"/>
      <c r="BZ28" s="1275"/>
      <c r="CB28" s="1283"/>
      <c r="CC28" s="1258"/>
      <c r="CD28" s="220"/>
      <c r="CE28" s="1299"/>
      <c r="CF28" s="1258"/>
      <c r="CG28" s="220"/>
      <c r="CH28" s="1283"/>
      <c r="CI28" s="1258"/>
      <c r="CJ28" s="220"/>
      <c r="CK28" s="1283"/>
      <c r="CL28" s="1258"/>
      <c r="CM28" s="218"/>
      <c r="CN28" s="1275"/>
    </row>
    <row r="29" spans="2:92" ht="99.75" x14ac:dyDescent="0.2">
      <c r="B29" s="1345"/>
      <c r="C29" s="1230" t="s">
        <v>60</v>
      </c>
      <c r="D29" s="1214" t="s">
        <v>204</v>
      </c>
      <c r="E29" s="1211" t="s">
        <v>125</v>
      </c>
      <c r="F29" s="1202" t="s">
        <v>330</v>
      </c>
      <c r="G29" s="335" t="str">
        <f>+'Plan de Accion Misional'!K9</f>
        <v>Cobro efectivo de las acreencias por todo concepto a favor de la Administradora de los Recursos del Sistema General de Seguridad Social en Salud – ADRES.</v>
      </c>
      <c r="H29" s="1262"/>
      <c r="J29" s="230">
        <f>+'Plan de Accion Misional'!AJ9</f>
        <v>0.73333330323828039</v>
      </c>
      <c r="K29" s="503">
        <f>+'Plan de Accion Misional'!BS9</f>
        <v>0.73333330323828039</v>
      </c>
      <c r="L29" s="503">
        <f t="shared" si="2"/>
        <v>0.73333330323828039</v>
      </c>
      <c r="M29" s="503">
        <f>+'Plan de Accion Misional'!AL9</f>
        <v>0.1833333258095701</v>
      </c>
      <c r="N29" s="503">
        <f t="shared" si="0"/>
        <v>0.1833333258095701</v>
      </c>
      <c r="O29" s="503">
        <f t="shared" si="1"/>
        <v>0.1833333258095701</v>
      </c>
      <c r="P29" s="229"/>
      <c r="Q29" s="230" t="s">
        <v>204</v>
      </c>
      <c r="R29" s="266" t="s">
        <v>180</v>
      </c>
      <c r="S29" s="228" t="s">
        <v>204</v>
      </c>
      <c r="T29" s="732">
        <f>+'Plan de Accion Misional'!AV9</f>
        <v>0.1833333258095701</v>
      </c>
      <c r="U29" s="732">
        <f t="shared" ref="U29" si="11">IF(T29&gt;100%,100%,T29)</f>
        <v>0.1833333258095701</v>
      </c>
      <c r="V29" s="227">
        <f t="shared" ref="V29" si="12">+U29</f>
        <v>0.1833333258095701</v>
      </c>
      <c r="W29" s="229"/>
      <c r="X29" s="230" t="s">
        <v>204</v>
      </c>
      <c r="Y29" s="266" t="s">
        <v>180</v>
      </c>
      <c r="Z29" s="228" t="s">
        <v>204</v>
      </c>
      <c r="AA29" s="233">
        <f>+'Plan de Accion Misional'!BF9</f>
        <v>0.1833333258095701</v>
      </c>
      <c r="AB29" s="233">
        <f t="shared" ref="AB29" si="13">IF(AA29&gt;100%,100%,AA29)</f>
        <v>0.1833333258095701</v>
      </c>
      <c r="AC29" s="734">
        <f t="shared" ref="AC29" si="14">+AB29</f>
        <v>0.1833333258095701</v>
      </c>
      <c r="AD29" s="229"/>
      <c r="AE29" s="230" t="s">
        <v>204</v>
      </c>
      <c r="AF29" s="266" t="s">
        <v>180</v>
      </c>
      <c r="AG29" s="228" t="s">
        <v>204</v>
      </c>
      <c r="AH29" s="266">
        <f>+'Plan de Accion Misional'!BP9</f>
        <v>0.1833333258095701</v>
      </c>
      <c r="AI29" s="227">
        <f t="shared" ref="AI29" si="15">IF(AH29&gt;100%,100%,AH29)</f>
        <v>0.1833333258095701</v>
      </c>
      <c r="AJ29" s="1256"/>
      <c r="AL29" s="1283"/>
      <c r="AM29" s="1258"/>
      <c r="AN29" s="220"/>
      <c r="AO29" s="1299"/>
      <c r="AP29" s="1258"/>
      <c r="AQ29" s="220"/>
      <c r="AR29" s="1283"/>
      <c r="AS29" s="1258"/>
      <c r="AT29" s="220"/>
      <c r="AU29" s="1283"/>
      <c r="AV29" s="1258"/>
      <c r="AW29" s="218"/>
      <c r="AX29" s="1275"/>
      <c r="AZ29" s="1283"/>
      <c r="BA29" s="1258"/>
      <c r="BB29" s="220"/>
      <c r="BC29" s="1299"/>
      <c r="BD29" s="1258"/>
      <c r="BE29" s="220"/>
      <c r="BF29" s="1283"/>
      <c r="BG29" s="1258"/>
      <c r="BH29" s="220"/>
      <c r="BI29" s="1283"/>
      <c r="BJ29" s="1258"/>
      <c r="BK29" s="218"/>
      <c r="BL29" s="1275"/>
      <c r="BN29" s="1283"/>
      <c r="BO29" s="1258"/>
      <c r="BP29" s="220"/>
      <c r="BQ29" s="1299"/>
      <c r="BR29" s="1258"/>
      <c r="BS29" s="220"/>
      <c r="BT29" s="1283"/>
      <c r="BU29" s="1258"/>
      <c r="BV29" s="220"/>
      <c r="BW29" s="1283"/>
      <c r="BX29" s="1258"/>
      <c r="BY29" s="218"/>
      <c r="BZ29" s="1275"/>
      <c r="CB29" s="1283"/>
      <c r="CC29" s="1258"/>
      <c r="CD29" s="220"/>
      <c r="CE29" s="1299"/>
      <c r="CF29" s="1258"/>
      <c r="CG29" s="220"/>
      <c r="CH29" s="1283"/>
      <c r="CI29" s="1258"/>
      <c r="CJ29" s="220"/>
      <c r="CK29" s="1283"/>
      <c r="CL29" s="1258"/>
      <c r="CM29" s="218"/>
      <c r="CN29" s="1275"/>
    </row>
    <row r="30" spans="2:92" ht="28.5" x14ac:dyDescent="0.2">
      <c r="B30" s="1345"/>
      <c r="C30" s="1231"/>
      <c r="D30" s="1215"/>
      <c r="E30" s="1212"/>
      <c r="F30" s="1210"/>
      <c r="G30" s="585" t="str">
        <f>+'Plan de Accion Misional'!K21</f>
        <v>Reclamaciones de cobro coactivo gestionadas</v>
      </c>
      <c r="H30" s="1262"/>
      <c r="J30" s="230">
        <f>+'Plan de Accion Misional'!AJ21</f>
        <v>0.73333330323828039</v>
      </c>
      <c r="K30" s="579">
        <f>+'Plan de Accion Misional'!BS21</f>
        <v>0.73333330323828039</v>
      </c>
      <c r="L30" s="579">
        <f t="shared" ref="L30" si="16">IF(K30&gt;100%,100%,K30)</f>
        <v>0.73333330323828039</v>
      </c>
      <c r="M30" s="579">
        <f>+'Plan de Accion Misional'!AL21</f>
        <v>0.1833333258095701</v>
      </c>
      <c r="N30" s="579">
        <f t="shared" ref="N30" si="17">IF(M30&gt;100%,100%,M30)</f>
        <v>0.1833333258095701</v>
      </c>
      <c r="O30" s="579">
        <f t="shared" ref="O30" si="18">+N30</f>
        <v>0.1833333258095701</v>
      </c>
      <c r="P30" s="229"/>
      <c r="Q30" s="230">
        <f>+'Plan de Accion Misional'!AT21</f>
        <v>1</v>
      </c>
      <c r="R30" s="266">
        <f>+'Plan de Accion Misional'!BU21</f>
        <v>1</v>
      </c>
      <c r="S30" s="228">
        <f t="shared" ref="S30" si="19">IF(R30&gt;100%,100%,R30)</f>
        <v>1</v>
      </c>
      <c r="T30" s="579">
        <f>+'Plan de Accion Misional'!AV21</f>
        <v>0.43333332580957007</v>
      </c>
      <c r="U30" s="579">
        <f t="shared" ref="U30" si="20">IF(T30&gt;100%,100%,T30)</f>
        <v>0.43333332580957007</v>
      </c>
      <c r="V30" s="227">
        <f t="shared" ref="V30" si="21">+U30</f>
        <v>0.43333332580957007</v>
      </c>
      <c r="W30" s="229"/>
      <c r="X30" s="230">
        <f>+'Plan de Accion Misional'!BD21</f>
        <v>0</v>
      </c>
      <c r="Y30" s="266">
        <f>+'Plan de Accion Misional'!BW21</f>
        <v>0</v>
      </c>
      <c r="Z30" s="228">
        <f t="shared" ref="Z30" si="22">IF(Y30&gt;100%,100%,Y30)</f>
        <v>0</v>
      </c>
      <c r="AA30" s="233">
        <f>+'Plan de Accion Misional'!BF21</f>
        <v>0.43333332580957007</v>
      </c>
      <c r="AB30" s="233">
        <f t="shared" ref="AB30" si="23">IF(AA30&gt;100%,100%,AA30)</f>
        <v>0.43333332580957007</v>
      </c>
      <c r="AC30" s="583">
        <f t="shared" ref="AC30" si="24">+AB30</f>
        <v>0.43333332580957007</v>
      </c>
      <c r="AD30" s="229"/>
      <c r="AE30" s="230">
        <f>+'Plan de Accion Misional'!BN21</f>
        <v>0</v>
      </c>
      <c r="AF30" s="266">
        <f>+'Plan de Accion Misional'!BY21</f>
        <v>0</v>
      </c>
      <c r="AG30" s="228">
        <f t="shared" ref="AG30" si="25">IF(AF30&gt;100%,100%,AF30)</f>
        <v>0</v>
      </c>
      <c r="AH30" s="266">
        <f>+'Plan de Accion Misional'!BP21</f>
        <v>0.43333332580957007</v>
      </c>
      <c r="AI30" s="227">
        <f t="shared" ref="AI30" si="26">IF(AH30&gt;100%,100%,AH30)</f>
        <v>0.43333332580957007</v>
      </c>
      <c r="AJ30" s="1256"/>
      <c r="AL30" s="1283"/>
      <c r="AM30" s="1258"/>
      <c r="AN30" s="220"/>
      <c r="AO30" s="1299"/>
      <c r="AP30" s="1258"/>
      <c r="AQ30" s="220"/>
      <c r="AR30" s="1283"/>
      <c r="AS30" s="1258"/>
      <c r="AT30" s="220"/>
      <c r="AU30" s="1283"/>
      <c r="AV30" s="1258"/>
      <c r="AW30" s="218"/>
      <c r="AX30" s="1275"/>
      <c r="AZ30" s="1283"/>
      <c r="BA30" s="1258"/>
      <c r="BB30" s="220"/>
      <c r="BC30" s="1299"/>
      <c r="BD30" s="1258"/>
      <c r="BE30" s="220"/>
      <c r="BF30" s="1283"/>
      <c r="BG30" s="1258"/>
      <c r="BH30" s="220"/>
      <c r="BI30" s="1283"/>
      <c r="BJ30" s="1258"/>
      <c r="BK30" s="218"/>
      <c r="BL30" s="1275"/>
      <c r="BN30" s="1283"/>
      <c r="BO30" s="1258"/>
      <c r="BP30" s="220"/>
      <c r="BQ30" s="1299"/>
      <c r="BR30" s="1258"/>
      <c r="BS30" s="220"/>
      <c r="BT30" s="1283"/>
      <c r="BU30" s="1258"/>
      <c r="BV30" s="220"/>
      <c r="BW30" s="1283"/>
      <c r="BX30" s="1258"/>
      <c r="BY30" s="218"/>
      <c r="BZ30" s="1275"/>
      <c r="CB30" s="1283"/>
      <c r="CC30" s="1258"/>
      <c r="CD30" s="220"/>
      <c r="CE30" s="1299"/>
      <c r="CF30" s="1258"/>
      <c r="CG30" s="220"/>
      <c r="CH30" s="1283"/>
      <c r="CI30" s="1258"/>
      <c r="CJ30" s="220"/>
      <c r="CK30" s="1283"/>
      <c r="CL30" s="1258"/>
      <c r="CM30" s="218"/>
      <c r="CN30" s="1275"/>
    </row>
    <row r="31" spans="2:92" ht="15" x14ac:dyDescent="0.2">
      <c r="B31" s="1345"/>
      <c r="C31" s="1231"/>
      <c r="D31" s="1215"/>
      <c r="E31" s="1212"/>
      <c r="F31" s="1210"/>
      <c r="G31" s="335" t="str">
        <f>+'Plan de Accion Misional'!K10</f>
        <v>Comunicaciones enviadas</v>
      </c>
      <c r="H31" s="1262"/>
      <c r="J31" s="1246">
        <f>+'Plan de Accion Misional'!AJ10</f>
        <v>0.66666666666666663</v>
      </c>
      <c r="K31" s="1197">
        <f>+'Plan de Accion Misional'!BS10</f>
        <v>0.66666666666666663</v>
      </c>
      <c r="L31" s="1197">
        <f t="shared" si="2"/>
        <v>0.66666666666666663</v>
      </c>
      <c r="M31" s="1197">
        <f>+'Plan de Accion Misional'!AL10</f>
        <v>0.16666666666666666</v>
      </c>
      <c r="N31" s="1197">
        <f t="shared" si="0"/>
        <v>0.16666666666666666</v>
      </c>
      <c r="O31" s="1197">
        <f t="shared" si="1"/>
        <v>0.16666666666666666</v>
      </c>
      <c r="P31" s="229"/>
      <c r="Q31" s="1246">
        <f>+'Plan de Accion Misional'!AT10</f>
        <v>1</v>
      </c>
      <c r="R31" s="1249">
        <f>+'Plan de Accion Misional'!BU10</f>
        <v>1</v>
      </c>
      <c r="S31" s="1249">
        <f t="shared" si="3"/>
        <v>1</v>
      </c>
      <c r="T31" s="1249">
        <f>+'Plan de Accion Misional'!AV10</f>
        <v>0.41666666666666669</v>
      </c>
      <c r="U31" s="1249">
        <f t="shared" si="4"/>
        <v>0.41666666666666669</v>
      </c>
      <c r="V31" s="1252">
        <f t="shared" si="5"/>
        <v>0.41666666666666669</v>
      </c>
      <c r="W31" s="229"/>
      <c r="X31" s="1246">
        <f>+'Plan de Accion Misional'!BD10</f>
        <v>0</v>
      </c>
      <c r="Y31" s="1249">
        <f>+'Plan de Accion Misional'!BW10</f>
        <v>0</v>
      </c>
      <c r="Z31" s="1249">
        <f t="shared" si="6"/>
        <v>0</v>
      </c>
      <c r="AA31" s="1254">
        <f>+'Plan de Accion Misional'!BF10</f>
        <v>0.41666666666666669</v>
      </c>
      <c r="AB31" s="1254">
        <f t="shared" si="7"/>
        <v>0.41666666666666669</v>
      </c>
      <c r="AC31" s="1244">
        <f t="shared" si="8"/>
        <v>0.41666666666666669</v>
      </c>
      <c r="AD31" s="229"/>
      <c r="AE31" s="1246">
        <f>+'Plan de Accion Misional'!BN10</f>
        <v>0</v>
      </c>
      <c r="AF31" s="1249">
        <f>+'Plan de Accion Misional'!BY10</f>
        <v>0</v>
      </c>
      <c r="AG31" s="1249">
        <f t="shared" si="9"/>
        <v>0</v>
      </c>
      <c r="AH31" s="1249">
        <f>+'Plan de Accion Misional'!BP10</f>
        <v>0.41666666666666669</v>
      </c>
      <c r="AI31" s="1252">
        <f t="shared" si="10"/>
        <v>0.41666666666666669</v>
      </c>
      <c r="AJ31" s="1256"/>
      <c r="AL31" s="1283"/>
      <c r="AM31" s="1258"/>
      <c r="AN31" s="220"/>
      <c r="AO31" s="1299"/>
      <c r="AP31" s="1258"/>
      <c r="AQ31" s="220"/>
      <c r="AR31" s="1283"/>
      <c r="AS31" s="1258"/>
      <c r="AT31" s="220"/>
      <c r="AU31" s="1283"/>
      <c r="AV31" s="1258"/>
      <c r="AW31" s="218"/>
      <c r="AX31" s="1275"/>
      <c r="AZ31" s="1283"/>
      <c r="BA31" s="1258"/>
      <c r="BB31" s="220"/>
      <c r="BC31" s="1299"/>
      <c r="BD31" s="1258"/>
      <c r="BE31" s="220"/>
      <c r="BF31" s="1283"/>
      <c r="BG31" s="1258"/>
      <c r="BH31" s="220"/>
      <c r="BI31" s="1283"/>
      <c r="BJ31" s="1258"/>
      <c r="BK31" s="218"/>
      <c r="BL31" s="1275"/>
      <c r="BN31" s="1283"/>
      <c r="BO31" s="1258"/>
      <c r="BP31" s="220"/>
      <c r="BQ31" s="1299"/>
      <c r="BR31" s="1258"/>
      <c r="BS31" s="220"/>
      <c r="BT31" s="1283"/>
      <c r="BU31" s="1258"/>
      <c r="BV31" s="220"/>
      <c r="BW31" s="1283"/>
      <c r="BX31" s="1258"/>
      <c r="BY31" s="218"/>
      <c r="BZ31" s="1275"/>
      <c r="CB31" s="1283"/>
      <c r="CC31" s="1258"/>
      <c r="CD31" s="220"/>
      <c r="CE31" s="1299"/>
      <c r="CF31" s="1258"/>
      <c r="CG31" s="220"/>
      <c r="CH31" s="1283"/>
      <c r="CI31" s="1258"/>
      <c r="CJ31" s="220"/>
      <c r="CK31" s="1283"/>
      <c r="CL31" s="1258"/>
      <c r="CM31" s="218"/>
      <c r="CN31" s="1275"/>
    </row>
    <row r="32" spans="2:92" ht="42.75" customHeight="1" x14ac:dyDescent="0.2">
      <c r="B32" s="1345"/>
      <c r="C32" s="1231"/>
      <c r="D32" s="1215"/>
      <c r="E32" s="1212"/>
      <c r="F32" s="1210"/>
      <c r="G32" s="335" t="str">
        <f>+'Plan de Accion Misional'!K11</f>
        <v>Pagos registrados en el SII PRE Procesos de repetición</v>
      </c>
      <c r="H32" s="1262"/>
      <c r="J32" s="1247"/>
      <c r="K32" s="1198"/>
      <c r="L32" s="1198"/>
      <c r="M32" s="1198"/>
      <c r="N32" s="1198"/>
      <c r="O32" s="1198"/>
      <c r="P32" s="229"/>
      <c r="Q32" s="1247"/>
      <c r="R32" s="1250"/>
      <c r="S32" s="1250"/>
      <c r="T32" s="1250"/>
      <c r="U32" s="1250"/>
      <c r="V32" s="1281"/>
      <c r="W32" s="229"/>
      <c r="X32" s="1247"/>
      <c r="Y32" s="1250"/>
      <c r="Z32" s="1250"/>
      <c r="AA32" s="1296"/>
      <c r="AB32" s="1296"/>
      <c r="AC32" s="1297"/>
      <c r="AD32" s="229"/>
      <c r="AE32" s="1247"/>
      <c r="AF32" s="1250"/>
      <c r="AG32" s="1250"/>
      <c r="AH32" s="1250"/>
      <c r="AI32" s="1281"/>
      <c r="AJ32" s="1256"/>
      <c r="AL32" s="1283"/>
      <c r="AM32" s="1258"/>
      <c r="AN32" s="220"/>
      <c r="AO32" s="1299"/>
      <c r="AP32" s="1258"/>
      <c r="AQ32" s="220"/>
      <c r="AR32" s="1283"/>
      <c r="AS32" s="1258"/>
      <c r="AT32" s="220"/>
      <c r="AU32" s="1283"/>
      <c r="AV32" s="1258"/>
      <c r="AW32" s="218"/>
      <c r="AX32" s="1275"/>
      <c r="AZ32" s="1283"/>
      <c r="BA32" s="1258"/>
      <c r="BB32" s="220"/>
      <c r="BC32" s="1299"/>
      <c r="BD32" s="1258"/>
      <c r="BE32" s="220"/>
      <c r="BF32" s="1283"/>
      <c r="BG32" s="1258"/>
      <c r="BH32" s="220"/>
      <c r="BI32" s="1283"/>
      <c r="BJ32" s="1258"/>
      <c r="BK32" s="218"/>
      <c r="BL32" s="1275"/>
      <c r="BN32" s="1283"/>
      <c r="BO32" s="1258"/>
      <c r="BP32" s="220"/>
      <c r="BQ32" s="1299"/>
      <c r="BR32" s="1258"/>
      <c r="BS32" s="220"/>
      <c r="BT32" s="1283"/>
      <c r="BU32" s="1258"/>
      <c r="BV32" s="220"/>
      <c r="BW32" s="1283"/>
      <c r="BX32" s="1258"/>
      <c r="BY32" s="218"/>
      <c r="BZ32" s="1275"/>
      <c r="CB32" s="1283"/>
      <c r="CC32" s="1258"/>
      <c r="CD32" s="220"/>
      <c r="CE32" s="1299"/>
      <c r="CF32" s="1258"/>
      <c r="CG32" s="220"/>
      <c r="CH32" s="1283"/>
      <c r="CI32" s="1258"/>
      <c r="CJ32" s="220"/>
      <c r="CK32" s="1283"/>
      <c r="CL32" s="1258"/>
      <c r="CM32" s="218"/>
      <c r="CN32" s="1275"/>
    </row>
    <row r="33" spans="2:92" ht="15" x14ac:dyDescent="0.2">
      <c r="B33" s="1345"/>
      <c r="C33" s="1231"/>
      <c r="D33" s="1215"/>
      <c r="E33" s="1212"/>
      <c r="F33" s="1210"/>
      <c r="G33" s="335" t="str">
        <f>+'Plan de Accion Misional'!K12</f>
        <v>Reclamaciones depurables</v>
      </c>
      <c r="H33" s="1262"/>
      <c r="J33" s="1248"/>
      <c r="K33" s="1199"/>
      <c r="L33" s="1199"/>
      <c r="M33" s="1199"/>
      <c r="N33" s="1199"/>
      <c r="O33" s="1199"/>
      <c r="P33" s="229"/>
      <c r="Q33" s="1248"/>
      <c r="R33" s="1251"/>
      <c r="S33" s="1251"/>
      <c r="T33" s="1251"/>
      <c r="U33" s="1251"/>
      <c r="V33" s="1253"/>
      <c r="W33" s="229"/>
      <c r="X33" s="1248"/>
      <c r="Y33" s="1251"/>
      <c r="Z33" s="1251"/>
      <c r="AA33" s="1255"/>
      <c r="AB33" s="1255"/>
      <c r="AC33" s="1245"/>
      <c r="AD33" s="229"/>
      <c r="AE33" s="1248"/>
      <c r="AF33" s="1251"/>
      <c r="AG33" s="1251"/>
      <c r="AH33" s="1251"/>
      <c r="AI33" s="1253"/>
      <c r="AJ33" s="1256"/>
      <c r="AL33" s="1283"/>
      <c r="AM33" s="1258"/>
      <c r="AN33" s="220"/>
      <c r="AO33" s="1299"/>
      <c r="AP33" s="1258"/>
      <c r="AQ33" s="220"/>
      <c r="AR33" s="1283"/>
      <c r="AS33" s="1258"/>
      <c r="AT33" s="220"/>
      <c r="AU33" s="1283"/>
      <c r="AV33" s="1258"/>
      <c r="AW33" s="218"/>
      <c r="AX33" s="1275"/>
      <c r="AZ33" s="1283"/>
      <c r="BA33" s="1258"/>
      <c r="BB33" s="220"/>
      <c r="BC33" s="1299"/>
      <c r="BD33" s="1258"/>
      <c r="BE33" s="220"/>
      <c r="BF33" s="1283"/>
      <c r="BG33" s="1258"/>
      <c r="BH33" s="220"/>
      <c r="BI33" s="1283"/>
      <c r="BJ33" s="1258"/>
      <c r="BK33" s="218"/>
      <c r="BL33" s="1275"/>
      <c r="BN33" s="1283"/>
      <c r="BO33" s="1258"/>
      <c r="BP33" s="220"/>
      <c r="BQ33" s="1299"/>
      <c r="BR33" s="1258"/>
      <c r="BS33" s="220"/>
      <c r="BT33" s="1283"/>
      <c r="BU33" s="1258"/>
      <c r="BV33" s="220"/>
      <c r="BW33" s="1283"/>
      <c r="BX33" s="1258"/>
      <c r="BY33" s="218"/>
      <c r="BZ33" s="1275"/>
      <c r="CB33" s="1283"/>
      <c r="CC33" s="1258"/>
      <c r="CD33" s="220"/>
      <c r="CE33" s="1299"/>
      <c r="CF33" s="1258"/>
      <c r="CG33" s="220"/>
      <c r="CH33" s="1283"/>
      <c r="CI33" s="1258"/>
      <c r="CJ33" s="220"/>
      <c r="CK33" s="1283"/>
      <c r="CL33" s="1258"/>
      <c r="CM33" s="218"/>
      <c r="CN33" s="1275"/>
    </row>
    <row r="34" spans="2:92" ht="71.25" customHeight="1" x14ac:dyDescent="0.2">
      <c r="B34" s="1345"/>
      <c r="C34" s="1231"/>
      <c r="D34" s="1215"/>
      <c r="E34" s="1212"/>
      <c r="F34" s="1210"/>
      <c r="G34" s="335" t="str">
        <f>+'Plan de Accion Misional'!K13</f>
        <v>Bases de información actualizadas</v>
      </c>
      <c r="H34" s="1263"/>
      <c r="J34" s="230">
        <f>+'Plan de Accion Misional'!AJ13</f>
        <v>0.80972221564651647</v>
      </c>
      <c r="K34" s="503">
        <f>+'Plan de Accion Misional'!BS13</f>
        <v>0.80972221564651647</v>
      </c>
      <c r="L34" s="503">
        <f>IF(K34&gt;100%,100%,K34)</f>
        <v>0.80972221564651647</v>
      </c>
      <c r="M34" s="503">
        <f>+'Plan de Accion Misional'!AL13</f>
        <v>0.14722222102663934</v>
      </c>
      <c r="N34" s="503">
        <f>IF(M34&gt;100%,100%,M34)</f>
        <v>0.14722222102663934</v>
      </c>
      <c r="O34" s="503">
        <f>+N34</f>
        <v>0.14722222102663934</v>
      </c>
      <c r="P34" s="229"/>
      <c r="Q34" s="230">
        <f>+'Plan de Accion Misional'!AT13</f>
        <v>0.91666666666666674</v>
      </c>
      <c r="R34" s="266">
        <f>+'Plan de Accion Misional'!BU13</f>
        <v>0.91666666666666674</v>
      </c>
      <c r="S34" s="228">
        <f>IF(R34&gt;100%,100%,R34)</f>
        <v>0.91666666666666674</v>
      </c>
      <c r="T34" s="324">
        <f>+'Plan de Accion Misional'!AV13</f>
        <v>0.39722222102663934</v>
      </c>
      <c r="U34" s="324">
        <f t="shared" ref="U34:U39" si="27">IF(T34&gt;100%,100%,T34)</f>
        <v>0.39722222102663934</v>
      </c>
      <c r="V34" s="227">
        <f>+U34</f>
        <v>0.39722222102663934</v>
      </c>
      <c r="W34" s="229"/>
      <c r="X34" s="230">
        <f>+'Plan de Accion Misional'!BD13</f>
        <v>0</v>
      </c>
      <c r="Y34" s="266">
        <f>+'Plan de Accion Misional'!BW13</f>
        <v>0</v>
      </c>
      <c r="Z34" s="228">
        <f>IF(Y34&gt;100%,100%,Y34)</f>
        <v>0</v>
      </c>
      <c r="AA34" s="233">
        <f>+'Plan de Accion Misional'!BF13</f>
        <v>0.39722222102663934</v>
      </c>
      <c r="AB34" s="233">
        <f t="shared" ref="AB34:AB39" si="28">IF(AA34&gt;100%,100%,AA34)</f>
        <v>0.39722222102663934</v>
      </c>
      <c r="AC34" s="322">
        <f>+AB34</f>
        <v>0.39722222102663934</v>
      </c>
      <c r="AD34" s="229"/>
      <c r="AE34" s="230">
        <f>+'Plan de Accion Misional'!BN13</f>
        <v>0</v>
      </c>
      <c r="AF34" s="266">
        <f>+'Plan de Accion Misional'!BY13</f>
        <v>0</v>
      </c>
      <c r="AG34" s="228">
        <f>IF(AF34&gt;100%,100%,AF34)</f>
        <v>0</v>
      </c>
      <c r="AH34" s="266">
        <f>+'Plan de Accion Misional'!BP13</f>
        <v>0.39722222102663934</v>
      </c>
      <c r="AI34" s="227">
        <f t="shared" ref="AI34:AI39" si="29">IF(AH34&gt;100%,100%,AH34)</f>
        <v>0.39722222102663934</v>
      </c>
      <c r="AJ34" s="1256"/>
      <c r="AL34" s="1283"/>
      <c r="AM34" s="1258"/>
      <c r="AN34" s="220"/>
      <c r="AO34" s="1299"/>
      <c r="AP34" s="1258"/>
      <c r="AQ34" s="220"/>
      <c r="AR34" s="1283"/>
      <c r="AS34" s="1258"/>
      <c r="AT34" s="220"/>
      <c r="AU34" s="1283"/>
      <c r="AV34" s="1258"/>
      <c r="AW34" s="218"/>
      <c r="AX34" s="1275"/>
      <c r="AZ34" s="1283"/>
      <c r="BA34" s="1258"/>
      <c r="BB34" s="220"/>
      <c r="BC34" s="1299"/>
      <c r="BD34" s="1258"/>
      <c r="BE34" s="220"/>
      <c r="BF34" s="1283"/>
      <c r="BG34" s="1258"/>
      <c r="BH34" s="220"/>
      <c r="BI34" s="1283"/>
      <c r="BJ34" s="1258"/>
      <c r="BK34" s="218"/>
      <c r="BL34" s="1275"/>
      <c r="BN34" s="1283"/>
      <c r="BO34" s="1258"/>
      <c r="BP34" s="220"/>
      <c r="BQ34" s="1299"/>
      <c r="BR34" s="1258"/>
      <c r="BS34" s="220"/>
      <c r="BT34" s="1283"/>
      <c r="BU34" s="1258"/>
      <c r="BV34" s="220"/>
      <c r="BW34" s="1283"/>
      <c r="BX34" s="1258"/>
      <c r="BY34" s="218"/>
      <c r="BZ34" s="1275"/>
      <c r="CB34" s="1283"/>
      <c r="CC34" s="1258"/>
      <c r="CD34" s="220"/>
      <c r="CE34" s="1299"/>
      <c r="CF34" s="1258"/>
      <c r="CG34" s="220"/>
      <c r="CH34" s="1283"/>
      <c r="CI34" s="1258"/>
      <c r="CJ34" s="220"/>
      <c r="CK34" s="1283"/>
      <c r="CL34" s="1258"/>
      <c r="CM34" s="218"/>
      <c r="CN34" s="1275"/>
    </row>
    <row r="35" spans="2:92" ht="114" customHeight="1" x14ac:dyDescent="0.2">
      <c r="B35" s="1345"/>
      <c r="C35" s="1232"/>
      <c r="D35" s="1216"/>
      <c r="E35" s="1213"/>
      <c r="F35" s="1203"/>
      <c r="G35" s="335" t="str">
        <f>+'Plan de Accion Misional'!K14</f>
        <v>Pago de la cartera vendida a CISA S.A de resoluciones ejecutoriadas con mas de 180 días</v>
      </c>
      <c r="H35" s="359" t="str">
        <f>+'Plan de Accion Misional'!X15</f>
        <v xml:space="preserve">Monto pagado por CISA S.A / Monto ofrecido por CISA S.A. </v>
      </c>
      <c r="J35" s="230">
        <f>+'Plan de Accion Misional'!AQ15</f>
        <v>0</v>
      </c>
      <c r="K35" s="503" t="str">
        <f>+'Plan de Accion Misional'!BS15</f>
        <v>No Prog ni Ejec</v>
      </c>
      <c r="L35" s="503" t="s">
        <v>204</v>
      </c>
      <c r="M35" s="503">
        <f>+'Plan de Accion Misional'!AK15</f>
        <v>0</v>
      </c>
      <c r="N35" s="503">
        <f t="shared" ref="N35:N42" si="30">IF(M35&gt;100%,100%,M35)</f>
        <v>0</v>
      </c>
      <c r="O35" s="503" t="s">
        <v>204</v>
      </c>
      <c r="P35" s="229"/>
      <c r="Q35" s="230">
        <f>+'Plan de Accion Misional'!AQ15</f>
        <v>0</v>
      </c>
      <c r="R35" s="266" t="str">
        <f>+'Plan de Accion Misional'!BT15</f>
        <v>No Prog ni Ejec</v>
      </c>
      <c r="S35" s="228" t="s">
        <v>204</v>
      </c>
      <c r="T35" s="324">
        <f>+'Plan de Accion Misional'!AU15</f>
        <v>0</v>
      </c>
      <c r="U35" s="324">
        <f t="shared" si="27"/>
        <v>0</v>
      </c>
      <c r="V35" s="227" t="s">
        <v>204</v>
      </c>
      <c r="W35" s="229"/>
      <c r="X35" s="230">
        <f>+'Plan de Accion Misional'!BA15</f>
        <v>0</v>
      </c>
      <c r="Y35" s="266" t="str">
        <f>+'Plan de Accion Misional'!BV15</f>
        <v>No Prog ni Ejec</v>
      </c>
      <c r="Z35" s="228" t="s">
        <v>204</v>
      </c>
      <c r="AA35" s="233">
        <f>+'Plan de Accion Misional'!BE15</f>
        <v>0</v>
      </c>
      <c r="AB35" s="233">
        <f t="shared" si="28"/>
        <v>0</v>
      </c>
      <c r="AC35" s="232" t="s">
        <v>204</v>
      </c>
      <c r="AD35" s="229"/>
      <c r="AE35" s="230">
        <f>+'Plan de Accion Misional'!BK15</f>
        <v>0</v>
      </c>
      <c r="AF35" s="266">
        <f>+'Plan de Accion Misional'!BX15</f>
        <v>0</v>
      </c>
      <c r="AG35" s="228">
        <f t="shared" si="9"/>
        <v>0</v>
      </c>
      <c r="AH35" s="266">
        <f>+'Plan de Accion Misional'!BO15</f>
        <v>0</v>
      </c>
      <c r="AI35" s="227">
        <f t="shared" si="29"/>
        <v>0</v>
      </c>
      <c r="AJ35" s="1256"/>
      <c r="AL35" s="1283"/>
      <c r="AM35" s="1258"/>
      <c r="AN35" s="220"/>
      <c r="AO35" s="1299"/>
      <c r="AP35" s="1258"/>
      <c r="AQ35" s="220"/>
      <c r="AR35" s="1283"/>
      <c r="AS35" s="1258"/>
      <c r="AT35" s="220"/>
      <c r="AU35" s="1283"/>
      <c r="AV35" s="1258"/>
      <c r="AW35" s="218"/>
      <c r="AX35" s="1275"/>
      <c r="AZ35" s="1283"/>
      <c r="BA35" s="1258"/>
      <c r="BB35" s="220"/>
      <c r="BC35" s="1299"/>
      <c r="BD35" s="1258"/>
      <c r="BE35" s="220"/>
      <c r="BF35" s="1283"/>
      <c r="BG35" s="1258"/>
      <c r="BH35" s="220"/>
      <c r="BI35" s="1283"/>
      <c r="BJ35" s="1258"/>
      <c r="BK35" s="218"/>
      <c r="BL35" s="1275"/>
      <c r="BN35" s="1283"/>
      <c r="BO35" s="1258"/>
      <c r="BP35" s="220"/>
      <c r="BQ35" s="1299"/>
      <c r="BR35" s="1258"/>
      <c r="BS35" s="220"/>
      <c r="BT35" s="1283"/>
      <c r="BU35" s="1258"/>
      <c r="BV35" s="220"/>
      <c r="BW35" s="1283"/>
      <c r="BX35" s="1258"/>
      <c r="BY35" s="218"/>
      <c r="BZ35" s="1275"/>
      <c r="CB35" s="1283"/>
      <c r="CC35" s="1258"/>
      <c r="CD35" s="220"/>
      <c r="CE35" s="1299"/>
      <c r="CF35" s="1258"/>
      <c r="CG35" s="220"/>
      <c r="CH35" s="1283"/>
      <c r="CI35" s="1258"/>
      <c r="CJ35" s="220"/>
      <c r="CK35" s="1283"/>
      <c r="CL35" s="1258"/>
      <c r="CM35" s="218"/>
      <c r="CN35" s="1275"/>
    </row>
    <row r="36" spans="2:92" ht="30" customHeight="1" x14ac:dyDescent="0.2">
      <c r="B36" s="1345"/>
      <c r="C36" s="1337" t="s">
        <v>59</v>
      </c>
      <c r="D36" s="1214" t="s">
        <v>204</v>
      </c>
      <c r="E36" s="1202" t="s">
        <v>1231</v>
      </c>
      <c r="F36" s="1202" t="s">
        <v>330</v>
      </c>
      <c r="G36" s="342" t="str">
        <f>+'Plan de Accion Misional'!K17</f>
        <v>Gestión de Recaudo</v>
      </c>
      <c r="H36" s="1218" t="s">
        <v>219</v>
      </c>
      <c r="J36" s="230">
        <f>+'Plan de Accion Misional'!AQ17</f>
        <v>0.24994903419805312</v>
      </c>
      <c r="K36" s="503">
        <f>+'Plan de Accion Misional'!BS17</f>
        <v>0.82222222346123908</v>
      </c>
      <c r="L36" s="503">
        <f>IF(K36&gt;100%,100%,K36)</f>
        <v>0.82222222346123908</v>
      </c>
      <c r="M36" s="503">
        <f>+'Plan de Accion Misional'!AL17</f>
        <v>0.20555555586530977</v>
      </c>
      <c r="N36" s="503">
        <f>IF(M36&gt;100%,100%,M36)</f>
        <v>0.20555555586530977</v>
      </c>
      <c r="O36" s="503">
        <f>+N36</f>
        <v>0.20555555586530977</v>
      </c>
      <c r="P36" s="229"/>
      <c r="Q36" s="230">
        <f>+'Plan de Accion Misional'!AQ17</f>
        <v>0.24994903419805312</v>
      </c>
      <c r="R36" s="266">
        <f>+'Plan de Accion Misional'!BT17</f>
        <v>0.99979613679221246</v>
      </c>
      <c r="S36" s="228">
        <f>IF(R36&gt;100%,100%,R36)</f>
        <v>0.99979613679221246</v>
      </c>
      <c r="T36" s="345">
        <f>+'Plan de Accion Misional'!AU17</f>
        <v>0.49979280542478866</v>
      </c>
      <c r="U36" s="345">
        <f t="shared" si="27"/>
        <v>0.49979280542478866</v>
      </c>
      <c r="V36" s="227">
        <f>+U36</f>
        <v>0.49979280542478866</v>
      </c>
      <c r="W36" s="229"/>
      <c r="X36" s="230">
        <f>+'Plan de Accion Misional'!BA17</f>
        <v>0</v>
      </c>
      <c r="Y36" s="266">
        <f>+'Plan de Accion Misional'!BV17</f>
        <v>0</v>
      </c>
      <c r="Z36" s="228">
        <f t="shared" ref="Z36:Z41" si="31">IF(Y36&gt;100%,100%,Y36)</f>
        <v>0</v>
      </c>
      <c r="AA36" s="233">
        <f>+'Plan de Accion Misional'!BE17</f>
        <v>0.49979280542478866</v>
      </c>
      <c r="AB36" s="233">
        <f t="shared" si="28"/>
        <v>0.49979280542478866</v>
      </c>
      <c r="AC36" s="352">
        <f t="shared" ref="AC36:AC41" si="32">+AB36</f>
        <v>0.49979280542478866</v>
      </c>
      <c r="AD36" s="229"/>
      <c r="AE36" s="230">
        <f>+'Plan de Accion Misional'!BK17</f>
        <v>0</v>
      </c>
      <c r="AF36" s="266">
        <f>+'Plan de Accion Misional'!BX17</f>
        <v>0</v>
      </c>
      <c r="AG36" s="228">
        <f t="shared" ref="AG36:AG41" si="33">IF(AF36&gt;100%,100%,AF36)</f>
        <v>0</v>
      </c>
      <c r="AH36" s="266">
        <f>+'Plan de Accion Misional'!BO17</f>
        <v>0.49979280542478866</v>
      </c>
      <c r="AI36" s="227">
        <f t="shared" si="29"/>
        <v>0.49979280542478866</v>
      </c>
      <c r="AJ36" s="1256"/>
      <c r="AL36" s="1283"/>
      <c r="AM36" s="1258"/>
      <c r="AN36" s="220"/>
      <c r="AO36" s="1299"/>
      <c r="AP36" s="1258"/>
      <c r="AQ36" s="220"/>
      <c r="AR36" s="1283"/>
      <c r="AS36" s="1258"/>
      <c r="AT36" s="220"/>
      <c r="AU36" s="1283"/>
      <c r="AV36" s="1258"/>
      <c r="AW36" s="218"/>
      <c r="AX36" s="1275"/>
      <c r="AZ36" s="1283"/>
      <c r="BA36" s="1258"/>
      <c r="BB36" s="220"/>
      <c r="BC36" s="1299"/>
      <c r="BD36" s="1258"/>
      <c r="BE36" s="220"/>
      <c r="BF36" s="1283"/>
      <c r="BG36" s="1258"/>
      <c r="BH36" s="220"/>
      <c r="BI36" s="1283"/>
      <c r="BJ36" s="1258"/>
      <c r="BK36" s="218"/>
      <c r="BL36" s="1275"/>
      <c r="BN36" s="1283"/>
      <c r="BO36" s="1258"/>
      <c r="BP36" s="220"/>
      <c r="BQ36" s="1299"/>
      <c r="BR36" s="1258"/>
      <c r="BS36" s="220"/>
      <c r="BT36" s="1283"/>
      <c r="BU36" s="1258"/>
      <c r="BV36" s="220"/>
      <c r="BW36" s="1283"/>
      <c r="BX36" s="1258"/>
      <c r="BY36" s="218"/>
      <c r="BZ36" s="1275"/>
      <c r="CB36" s="1283"/>
      <c r="CC36" s="1258"/>
      <c r="CD36" s="220"/>
      <c r="CE36" s="1299"/>
      <c r="CF36" s="1258"/>
      <c r="CG36" s="220"/>
      <c r="CH36" s="1283"/>
      <c r="CI36" s="1258"/>
      <c r="CJ36" s="220"/>
      <c r="CK36" s="1283"/>
      <c r="CL36" s="1258"/>
      <c r="CM36" s="218"/>
      <c r="CN36" s="1275"/>
    </row>
    <row r="37" spans="2:92" ht="30" customHeight="1" x14ac:dyDescent="0.2">
      <c r="B37" s="1345"/>
      <c r="C37" s="1338"/>
      <c r="D37" s="1215"/>
      <c r="E37" s="1210"/>
      <c r="F37" s="1210"/>
      <c r="G37" s="342" t="str">
        <f>+'Plan de Accion Misional'!K18</f>
        <v>Ordenes de Giros tramitadas</v>
      </c>
      <c r="H37" s="1219"/>
      <c r="J37" s="230">
        <f>+'Plan de Accion Misional'!AQ18</f>
        <v>0.25</v>
      </c>
      <c r="K37" s="565">
        <f>+'Plan de Accion Misional'!BS18</f>
        <v>0.78157856742140563</v>
      </c>
      <c r="L37" s="565">
        <f>IF(K37&gt;100%,100%,K37)</f>
        <v>0.78157856742140563</v>
      </c>
      <c r="M37" s="565">
        <f>+'Plan de Accion Misional'!AL18</f>
        <v>0.19539464185535141</v>
      </c>
      <c r="N37" s="565">
        <f>IF(M37&gt;100%,100%,M37)</f>
        <v>0.19539464185535141</v>
      </c>
      <c r="O37" s="565">
        <f>+N37</f>
        <v>0.19539464185535141</v>
      </c>
      <c r="P37" s="229"/>
      <c r="Q37" s="230">
        <f>+'Plan de Accion Misional'!AQ18</f>
        <v>0.25</v>
      </c>
      <c r="R37" s="266">
        <f>+'Plan de Accion Misional'!BT18</f>
        <v>1</v>
      </c>
      <c r="S37" s="228">
        <f>IF(R37&gt;100%,100%,R37)</f>
        <v>1</v>
      </c>
      <c r="T37" s="345">
        <f>+'Plan de Accion Misional'!AU18</f>
        <v>0.5</v>
      </c>
      <c r="U37" s="345">
        <f t="shared" si="27"/>
        <v>0.5</v>
      </c>
      <c r="V37" s="227">
        <f>+U37</f>
        <v>0.5</v>
      </c>
      <c r="W37" s="229"/>
      <c r="X37" s="230">
        <f>+'Plan de Accion Misional'!BA18</f>
        <v>0</v>
      </c>
      <c r="Y37" s="266">
        <f>+'Plan de Accion Misional'!BV18</f>
        <v>0</v>
      </c>
      <c r="Z37" s="228">
        <f t="shared" si="31"/>
        <v>0</v>
      </c>
      <c r="AA37" s="233">
        <f>+'Plan de Accion Misional'!BE18</f>
        <v>0.5</v>
      </c>
      <c r="AB37" s="233">
        <f t="shared" si="28"/>
        <v>0.5</v>
      </c>
      <c r="AC37" s="352">
        <f t="shared" si="32"/>
        <v>0.5</v>
      </c>
      <c r="AD37" s="229"/>
      <c r="AE37" s="230">
        <f>+'Plan de Accion Misional'!BK18</f>
        <v>0</v>
      </c>
      <c r="AF37" s="266">
        <f>+'Plan de Accion Misional'!BX18</f>
        <v>0</v>
      </c>
      <c r="AG37" s="228">
        <f t="shared" si="33"/>
        <v>0</v>
      </c>
      <c r="AH37" s="266">
        <f>+'Plan de Accion Misional'!BO18</f>
        <v>0.5</v>
      </c>
      <c r="AI37" s="227">
        <f t="shared" si="29"/>
        <v>0.5</v>
      </c>
      <c r="AJ37" s="1256"/>
      <c r="AL37" s="1283"/>
      <c r="AM37" s="1258"/>
      <c r="AN37" s="220"/>
      <c r="AO37" s="1299"/>
      <c r="AP37" s="1258"/>
      <c r="AQ37" s="220"/>
      <c r="AR37" s="1283"/>
      <c r="AS37" s="1258"/>
      <c r="AT37" s="220"/>
      <c r="AU37" s="1283"/>
      <c r="AV37" s="1258"/>
      <c r="AW37" s="218"/>
      <c r="AX37" s="1275"/>
      <c r="AZ37" s="1283"/>
      <c r="BA37" s="1258"/>
      <c r="BB37" s="220"/>
      <c r="BC37" s="1299"/>
      <c r="BD37" s="1258"/>
      <c r="BE37" s="220"/>
      <c r="BF37" s="1283"/>
      <c r="BG37" s="1258"/>
      <c r="BH37" s="220"/>
      <c r="BI37" s="1283"/>
      <c r="BJ37" s="1258"/>
      <c r="BK37" s="218"/>
      <c r="BL37" s="1275"/>
      <c r="BN37" s="1283"/>
      <c r="BO37" s="1258"/>
      <c r="BP37" s="220"/>
      <c r="BQ37" s="1299"/>
      <c r="BR37" s="1258"/>
      <c r="BS37" s="220"/>
      <c r="BT37" s="1283"/>
      <c r="BU37" s="1258"/>
      <c r="BV37" s="220"/>
      <c r="BW37" s="1283"/>
      <c r="BX37" s="1258"/>
      <c r="BY37" s="218"/>
      <c r="BZ37" s="1275"/>
      <c r="CB37" s="1283"/>
      <c r="CC37" s="1258"/>
      <c r="CD37" s="220"/>
      <c r="CE37" s="1299"/>
      <c r="CF37" s="1258"/>
      <c r="CG37" s="220"/>
      <c r="CH37" s="1283"/>
      <c r="CI37" s="1258"/>
      <c r="CJ37" s="220"/>
      <c r="CK37" s="1283"/>
      <c r="CL37" s="1258"/>
      <c r="CM37" s="218"/>
      <c r="CN37" s="1275"/>
    </row>
    <row r="38" spans="2:92" ht="30" customHeight="1" x14ac:dyDescent="0.2">
      <c r="B38" s="1345"/>
      <c r="C38" s="1338"/>
      <c r="D38" s="1215"/>
      <c r="E38" s="1210"/>
      <c r="F38" s="1210"/>
      <c r="G38" s="342" t="str">
        <f>+'Plan de Accion Misional'!K19</f>
        <v>Informes de Portafolio</v>
      </c>
      <c r="H38" s="1219"/>
      <c r="J38" s="230">
        <f>+'Plan de Accion Misional'!AQ19</f>
        <v>0.25</v>
      </c>
      <c r="K38" s="565">
        <f>+'Plan de Accion Misional'!BS19</f>
        <v>0.82222222222222219</v>
      </c>
      <c r="L38" s="565">
        <f>IF(K38&gt;100%,100%,K38)</f>
        <v>0.82222222222222219</v>
      </c>
      <c r="M38" s="565">
        <f>+'Plan de Accion Misional'!AL19</f>
        <v>0.20555555555555555</v>
      </c>
      <c r="N38" s="565">
        <f>IF(M38&gt;100%,100%,M38)</f>
        <v>0.20555555555555555</v>
      </c>
      <c r="O38" s="565">
        <f>+N38</f>
        <v>0.20555555555555555</v>
      </c>
      <c r="P38" s="229"/>
      <c r="Q38" s="230">
        <f>+'Plan de Accion Misional'!AQ19</f>
        <v>0.25</v>
      </c>
      <c r="R38" s="266">
        <f>+'Plan de Accion Misional'!BT19</f>
        <v>1</v>
      </c>
      <c r="S38" s="228">
        <f>IF(R38&gt;100%,100%,R38)</f>
        <v>1</v>
      </c>
      <c r="T38" s="345">
        <f>+'Plan de Accion Misional'!AU19</f>
        <v>0.5</v>
      </c>
      <c r="U38" s="345">
        <f t="shared" si="27"/>
        <v>0.5</v>
      </c>
      <c r="V38" s="227">
        <f>+U38</f>
        <v>0.5</v>
      </c>
      <c r="W38" s="229"/>
      <c r="X38" s="230">
        <f>+'Plan de Accion Misional'!BA19</f>
        <v>0</v>
      </c>
      <c r="Y38" s="266">
        <f>+'Plan de Accion Misional'!BV19</f>
        <v>0</v>
      </c>
      <c r="Z38" s="228">
        <f t="shared" si="31"/>
        <v>0</v>
      </c>
      <c r="AA38" s="233">
        <f>+'Plan de Accion Misional'!BE19</f>
        <v>0.5</v>
      </c>
      <c r="AB38" s="233">
        <f t="shared" si="28"/>
        <v>0.5</v>
      </c>
      <c r="AC38" s="352">
        <f t="shared" si="32"/>
        <v>0.5</v>
      </c>
      <c r="AD38" s="229"/>
      <c r="AE38" s="230">
        <f>+'Plan de Accion Misional'!BK19</f>
        <v>0</v>
      </c>
      <c r="AF38" s="266">
        <f>+'Plan de Accion Misional'!BX19</f>
        <v>0</v>
      </c>
      <c r="AG38" s="228">
        <f t="shared" si="33"/>
        <v>0</v>
      </c>
      <c r="AH38" s="266">
        <f>+'Plan de Accion Misional'!BO19</f>
        <v>0.5</v>
      </c>
      <c r="AI38" s="227">
        <f t="shared" si="29"/>
        <v>0.5</v>
      </c>
      <c r="AJ38" s="1256"/>
      <c r="AL38" s="1283"/>
      <c r="AM38" s="1258"/>
      <c r="AN38" s="220"/>
      <c r="AO38" s="1299"/>
      <c r="AP38" s="1258"/>
      <c r="AQ38" s="220"/>
      <c r="AR38" s="1283"/>
      <c r="AS38" s="1258"/>
      <c r="AT38" s="220"/>
      <c r="AU38" s="1283"/>
      <c r="AV38" s="1258"/>
      <c r="AW38" s="218"/>
      <c r="AX38" s="1275"/>
      <c r="AZ38" s="1283"/>
      <c r="BA38" s="1258"/>
      <c r="BB38" s="220"/>
      <c r="BC38" s="1299"/>
      <c r="BD38" s="1258"/>
      <c r="BE38" s="220"/>
      <c r="BF38" s="1283"/>
      <c r="BG38" s="1258"/>
      <c r="BH38" s="220"/>
      <c r="BI38" s="1283"/>
      <c r="BJ38" s="1258"/>
      <c r="BK38" s="218"/>
      <c r="BL38" s="1275"/>
      <c r="BN38" s="1283"/>
      <c r="BO38" s="1258"/>
      <c r="BP38" s="220"/>
      <c r="BQ38" s="1299"/>
      <c r="BR38" s="1258"/>
      <c r="BS38" s="220"/>
      <c r="BT38" s="1283"/>
      <c r="BU38" s="1258"/>
      <c r="BV38" s="220"/>
      <c r="BW38" s="1283"/>
      <c r="BX38" s="1258"/>
      <c r="BY38" s="218"/>
      <c r="BZ38" s="1275"/>
      <c r="CB38" s="1283"/>
      <c r="CC38" s="1258"/>
      <c r="CD38" s="220"/>
      <c r="CE38" s="1299"/>
      <c r="CF38" s="1258"/>
      <c r="CG38" s="220"/>
      <c r="CH38" s="1283"/>
      <c r="CI38" s="1258"/>
      <c r="CJ38" s="220"/>
      <c r="CK38" s="1283"/>
      <c r="CL38" s="1258"/>
      <c r="CM38" s="218"/>
      <c r="CN38" s="1275"/>
    </row>
    <row r="39" spans="2:92" ht="30" customHeight="1" x14ac:dyDescent="0.2">
      <c r="B39" s="1345"/>
      <c r="C39" s="1339"/>
      <c r="D39" s="1216"/>
      <c r="E39" s="1203"/>
      <c r="F39" s="1203"/>
      <c r="G39" s="342" t="str">
        <f>+'Plan de Accion Misional'!K20</f>
        <v>Estados Financieros</v>
      </c>
      <c r="H39" s="1220"/>
      <c r="J39" s="230">
        <f>+'Plan de Accion Misional'!AQ20</f>
        <v>1</v>
      </c>
      <c r="K39" s="565">
        <f>+'Plan de Accion Misional'!BS20</f>
        <v>0.77639309108345789</v>
      </c>
      <c r="L39" s="565">
        <f>IF(K39&gt;100%,100%,K39)</f>
        <v>0.77639309108345789</v>
      </c>
      <c r="M39" s="565">
        <f>+'Plan de Accion Misional'!AL20</f>
        <v>0.19409827277086447</v>
      </c>
      <c r="N39" s="565">
        <f>IF(M39&gt;100%,100%,M39)</f>
        <v>0.19409827277086447</v>
      </c>
      <c r="O39" s="565">
        <f>+N39</f>
        <v>0.19409827277086447</v>
      </c>
      <c r="P39" s="229"/>
      <c r="Q39" s="230">
        <f>+'Plan de Accion Misional'!AQ20</f>
        <v>1</v>
      </c>
      <c r="R39" s="266">
        <f>+'Plan de Accion Misional'!BT20</f>
        <v>1</v>
      </c>
      <c r="S39" s="228">
        <f>IF(R39&gt;100%,100%,R39)</f>
        <v>1</v>
      </c>
      <c r="T39" s="345">
        <f>+'Plan de Accion Misional'!AU20</f>
        <v>0.5</v>
      </c>
      <c r="U39" s="345">
        <f t="shared" si="27"/>
        <v>0.5</v>
      </c>
      <c r="V39" s="227">
        <f>+U39</f>
        <v>0.5</v>
      </c>
      <c r="W39" s="229"/>
      <c r="X39" s="230">
        <f>+'Plan de Accion Misional'!BA20</f>
        <v>0</v>
      </c>
      <c r="Y39" s="266">
        <f>+'Plan de Accion Misional'!BV20</f>
        <v>0</v>
      </c>
      <c r="Z39" s="228">
        <f t="shared" si="31"/>
        <v>0</v>
      </c>
      <c r="AA39" s="233">
        <f>+'Plan de Accion Misional'!BE20</f>
        <v>0.5</v>
      </c>
      <c r="AB39" s="233">
        <f t="shared" si="28"/>
        <v>0.5</v>
      </c>
      <c r="AC39" s="352">
        <f t="shared" si="32"/>
        <v>0.5</v>
      </c>
      <c r="AD39" s="229"/>
      <c r="AE39" s="230">
        <f>+'Plan de Accion Misional'!BK20</f>
        <v>0</v>
      </c>
      <c r="AF39" s="266">
        <f>+'Plan de Accion Misional'!BX20</f>
        <v>0</v>
      </c>
      <c r="AG39" s="228">
        <f t="shared" si="33"/>
        <v>0</v>
      </c>
      <c r="AH39" s="266">
        <f>+'Plan de Accion Misional'!BO20</f>
        <v>0.5</v>
      </c>
      <c r="AI39" s="227">
        <f t="shared" si="29"/>
        <v>0.5</v>
      </c>
      <c r="AJ39" s="1256"/>
      <c r="AL39" s="1283"/>
      <c r="AM39" s="1258"/>
      <c r="AN39" s="220"/>
      <c r="AO39" s="1299"/>
      <c r="AP39" s="1258"/>
      <c r="AQ39" s="220"/>
      <c r="AR39" s="1283"/>
      <c r="AS39" s="1258"/>
      <c r="AT39" s="220"/>
      <c r="AU39" s="1283"/>
      <c r="AV39" s="1258"/>
      <c r="AW39" s="218"/>
      <c r="AX39" s="1275"/>
      <c r="AZ39" s="1283"/>
      <c r="BA39" s="1258"/>
      <c r="BB39" s="220"/>
      <c r="BC39" s="1299"/>
      <c r="BD39" s="1258"/>
      <c r="BE39" s="220"/>
      <c r="BF39" s="1283"/>
      <c r="BG39" s="1258"/>
      <c r="BH39" s="220"/>
      <c r="BI39" s="1283"/>
      <c r="BJ39" s="1258"/>
      <c r="BK39" s="218"/>
      <c r="BL39" s="1275"/>
      <c r="BN39" s="1283"/>
      <c r="BO39" s="1258"/>
      <c r="BP39" s="220"/>
      <c r="BQ39" s="1299"/>
      <c r="BR39" s="1258"/>
      <c r="BS39" s="220"/>
      <c r="BT39" s="1283"/>
      <c r="BU39" s="1258"/>
      <c r="BV39" s="220"/>
      <c r="BW39" s="1283"/>
      <c r="BX39" s="1258"/>
      <c r="BY39" s="218"/>
      <c r="BZ39" s="1275"/>
      <c r="CB39" s="1283"/>
      <c r="CC39" s="1258"/>
      <c r="CD39" s="220"/>
      <c r="CE39" s="1299"/>
      <c r="CF39" s="1258"/>
      <c r="CG39" s="220"/>
      <c r="CH39" s="1283"/>
      <c r="CI39" s="1258"/>
      <c r="CJ39" s="220"/>
      <c r="CK39" s="1283"/>
      <c r="CL39" s="1258"/>
      <c r="CM39" s="218"/>
      <c r="CN39" s="1275"/>
    </row>
    <row r="40" spans="2:92" ht="84" customHeight="1" x14ac:dyDescent="0.2">
      <c r="B40" s="1345"/>
      <c r="C40" s="1230" t="s">
        <v>60</v>
      </c>
      <c r="D40" s="1214" t="s">
        <v>204</v>
      </c>
      <c r="E40" s="1211" t="s">
        <v>125</v>
      </c>
      <c r="F40" s="1202" t="s">
        <v>330</v>
      </c>
      <c r="G40" s="335" t="str">
        <f>+'Plan de Accion apoyo transversa'!X22</f>
        <v>Actas de las audiencias, memoriales y
providencias judiciales que se generen en la ejecución de las actividades de defensa de los intereses de la entidad</v>
      </c>
      <c r="H40" s="359" t="str">
        <f>+'Plan de Accion apoyo transversa'!AK22</f>
        <v>Producto pagado /producto entregado</v>
      </c>
      <c r="I40" s="220"/>
      <c r="J40" s="230" t="e">
        <f>+'Plan de Accion apoyo transversa'!AW22</f>
        <v>#DIV/0!</v>
      </c>
      <c r="K40" s="503" t="str">
        <f>+'Plan de Accion apoyo transversa'!CF22</f>
        <v>No Prog, Ejec=  20626000</v>
      </c>
      <c r="L40" s="503" t="s">
        <v>204</v>
      </c>
      <c r="M40" s="503">
        <f>+'Plan de Accion apoyo transversa'!AY22</f>
        <v>7.7650531198000194E-2</v>
      </c>
      <c r="N40" s="503">
        <f t="shared" si="30"/>
        <v>7.7650531198000194E-2</v>
      </c>
      <c r="O40" s="503" t="s">
        <v>204</v>
      </c>
      <c r="P40" s="229"/>
      <c r="Q40" s="230" t="e">
        <f>+'Plan de Accion apoyo transversa'!BG22</f>
        <v>#DIV/0!</v>
      </c>
      <c r="R40" s="266" t="str">
        <f>+'Plan de Accion apoyo transversa'!CH22</f>
        <v>No Prog, Ejec=  110000000</v>
      </c>
      <c r="S40" s="228" t="s">
        <v>204</v>
      </c>
      <c r="T40" s="324">
        <f>+'Plan de Accion apoyo transversa'!BI22</f>
        <v>0.49176661923155113</v>
      </c>
      <c r="U40" s="324">
        <f t="shared" ref="U40:U58" si="34">IF(T40&gt;100%,100%,T40)</f>
        <v>0.49176661923155113</v>
      </c>
      <c r="V40" s="227" t="s">
        <v>204</v>
      </c>
      <c r="W40" s="229"/>
      <c r="X40" s="230" t="e">
        <f>+'Plan de Accion apoyo transversa'!BQ22</f>
        <v>#DIV/0!</v>
      </c>
      <c r="Y40" s="266" t="str">
        <f>+'Plan de Accion apoyo transversa'!CJ22</f>
        <v>No Prog ni Ejec</v>
      </c>
      <c r="Z40" s="228">
        <f t="shared" si="31"/>
        <v>1</v>
      </c>
      <c r="AA40" s="233">
        <f>+'Plan de Accion apoyo transversa'!BS22</f>
        <v>0.49176661923155113</v>
      </c>
      <c r="AB40" s="233">
        <f t="shared" ref="AB40:AB58" si="35">IF(AA40&gt;100%,100%,AA40)</f>
        <v>0.49176661923155113</v>
      </c>
      <c r="AC40" s="322">
        <f t="shared" si="32"/>
        <v>0.49176661923155113</v>
      </c>
      <c r="AD40" s="229"/>
      <c r="AE40" s="230">
        <f>+'Plan de Accion apoyo transversa'!CA22</f>
        <v>0</v>
      </c>
      <c r="AF40" s="266">
        <f>+'Plan de Accion apoyo transversa'!CL22</f>
        <v>0</v>
      </c>
      <c r="AG40" s="228">
        <f t="shared" si="33"/>
        <v>0</v>
      </c>
      <c r="AH40" s="266">
        <f>+'Plan de Accion apoyo transversa'!CC22</f>
        <v>0.49176661923155113</v>
      </c>
      <c r="AI40" s="227">
        <f t="shared" ref="AI40:AI58" si="36">IF(AH40&gt;100%,100%,AH40)</f>
        <v>0.49176661923155113</v>
      </c>
      <c r="AJ40" s="1256"/>
      <c r="AL40" s="1283"/>
      <c r="AM40" s="1258"/>
      <c r="AN40" s="220"/>
      <c r="AO40" s="1299"/>
      <c r="AP40" s="1258"/>
      <c r="AQ40" s="220"/>
      <c r="AR40" s="1283"/>
      <c r="AS40" s="1258"/>
      <c r="AT40" s="220"/>
      <c r="AU40" s="1283"/>
      <c r="AV40" s="1258"/>
      <c r="AW40" s="218"/>
      <c r="AX40" s="1275"/>
      <c r="AZ40" s="1283"/>
      <c r="BA40" s="1258"/>
      <c r="BB40" s="220"/>
      <c r="BC40" s="1299"/>
      <c r="BD40" s="1258"/>
      <c r="BE40" s="220"/>
      <c r="BF40" s="1283"/>
      <c r="BG40" s="1258"/>
      <c r="BH40" s="220"/>
      <c r="BI40" s="1283"/>
      <c r="BJ40" s="1258"/>
      <c r="BK40" s="218"/>
      <c r="BL40" s="1275"/>
      <c r="BN40" s="1283"/>
      <c r="BO40" s="1258"/>
      <c r="BP40" s="220"/>
      <c r="BQ40" s="1299"/>
      <c r="BR40" s="1258"/>
      <c r="BS40" s="220"/>
      <c r="BT40" s="1283"/>
      <c r="BU40" s="1258"/>
      <c r="BV40" s="220"/>
      <c r="BW40" s="1283"/>
      <c r="BX40" s="1258"/>
      <c r="BY40" s="218"/>
      <c r="BZ40" s="1275"/>
      <c r="CB40" s="1283"/>
      <c r="CC40" s="1258"/>
      <c r="CD40" s="220"/>
      <c r="CE40" s="1299"/>
      <c r="CF40" s="1258"/>
      <c r="CG40" s="220"/>
      <c r="CH40" s="1283"/>
      <c r="CI40" s="1258"/>
      <c r="CJ40" s="220"/>
      <c r="CK40" s="1283"/>
      <c r="CL40" s="1258"/>
      <c r="CM40" s="218"/>
      <c r="CN40" s="1275"/>
    </row>
    <row r="41" spans="2:92" ht="99.75" customHeight="1" x14ac:dyDescent="0.2">
      <c r="B41" s="1345"/>
      <c r="C41" s="1231"/>
      <c r="D41" s="1215"/>
      <c r="E41" s="1212"/>
      <c r="F41" s="1210"/>
      <c r="G41" s="335" t="str">
        <f>+'Plan de Accion apoyo transversa'!X23</f>
        <v>Conceptos jurídicos</v>
      </c>
      <c r="H41" s="1218" t="s">
        <v>219</v>
      </c>
      <c r="I41" s="220"/>
      <c r="J41" s="230">
        <f>+'Plan de Accion apoyo transversa'!AW23</f>
        <v>0.28389324986859238</v>
      </c>
      <c r="K41" s="503">
        <f>+'Plan de Accion apoyo transversa'!CF23</f>
        <v>0.28389324986859238</v>
      </c>
      <c r="L41" s="503">
        <f>IF(K41&gt;100%,100%,K41)</f>
        <v>0.28389324986859238</v>
      </c>
      <c r="M41" s="503">
        <f>+'Plan de Accion apoyo transversa'!AY23</f>
        <v>7.0973312467148095E-2</v>
      </c>
      <c r="N41" s="503">
        <f t="shared" si="30"/>
        <v>7.0973312467148095E-2</v>
      </c>
      <c r="O41" s="760">
        <f>+N41</f>
        <v>7.0973312467148095E-2</v>
      </c>
      <c r="P41" s="229"/>
      <c r="Q41" s="230">
        <f>+'Plan de Accion apoyo transversa'!BG23</f>
        <v>0.38134916709924793</v>
      </c>
      <c r="R41" s="266">
        <f>+'Plan de Accion apoyo transversa'!CH23</f>
        <v>0.38134916709924793</v>
      </c>
      <c r="S41" s="228">
        <f>IF(R41&gt;100%,100%,R41)</f>
        <v>0.38134916709924793</v>
      </c>
      <c r="T41" s="324">
        <f>+'Plan de Accion apoyo transversa'!BI23</f>
        <v>0.16631060424196009</v>
      </c>
      <c r="U41" s="324">
        <f t="shared" si="34"/>
        <v>0.16631060424196009</v>
      </c>
      <c r="V41" s="227">
        <f>+U41</f>
        <v>0.16631060424196009</v>
      </c>
      <c r="W41" s="229"/>
      <c r="X41" s="230">
        <f>+'Plan de Accion apoyo transversa'!BQ23</f>
        <v>0</v>
      </c>
      <c r="Y41" s="266">
        <f>+'Plan de Accion apoyo transversa'!CJ23</f>
        <v>0</v>
      </c>
      <c r="Z41" s="228">
        <f t="shared" si="31"/>
        <v>0</v>
      </c>
      <c r="AA41" s="233">
        <f>+'Plan de Accion apoyo transversa'!BS23</f>
        <v>0.16631060424196009</v>
      </c>
      <c r="AB41" s="233">
        <f t="shared" si="35"/>
        <v>0.16631060424196009</v>
      </c>
      <c r="AC41" s="322">
        <f t="shared" si="32"/>
        <v>0.16631060424196009</v>
      </c>
      <c r="AD41" s="229"/>
      <c r="AE41" s="230">
        <f>+'Plan de Accion apoyo transversa'!CA23</f>
        <v>0</v>
      </c>
      <c r="AF41" s="266">
        <f>+'Plan de Accion apoyo transversa'!CL23</f>
        <v>0</v>
      </c>
      <c r="AG41" s="228">
        <f t="shared" si="33"/>
        <v>0</v>
      </c>
      <c r="AH41" s="266">
        <f>+'Plan de Accion apoyo transversa'!CC23</f>
        <v>0.16631060424196009</v>
      </c>
      <c r="AI41" s="227">
        <f t="shared" si="36"/>
        <v>0.16631060424196009</v>
      </c>
      <c r="AJ41" s="1256"/>
      <c r="AL41" s="1283"/>
      <c r="AM41" s="1258"/>
      <c r="AN41" s="220"/>
      <c r="AO41" s="1299"/>
      <c r="AP41" s="1258"/>
      <c r="AQ41" s="220"/>
      <c r="AR41" s="1283"/>
      <c r="AS41" s="1258"/>
      <c r="AT41" s="220"/>
      <c r="AU41" s="1283"/>
      <c r="AV41" s="1258"/>
      <c r="AW41" s="218"/>
      <c r="AX41" s="1275"/>
      <c r="AZ41" s="1283"/>
      <c r="BA41" s="1258"/>
      <c r="BB41" s="220"/>
      <c r="BC41" s="1299"/>
      <c r="BD41" s="1258"/>
      <c r="BE41" s="220"/>
      <c r="BF41" s="1283"/>
      <c r="BG41" s="1258"/>
      <c r="BH41" s="220"/>
      <c r="BI41" s="1283"/>
      <c r="BJ41" s="1258"/>
      <c r="BK41" s="218"/>
      <c r="BL41" s="1275"/>
      <c r="BN41" s="1283"/>
      <c r="BO41" s="1258"/>
      <c r="BP41" s="220"/>
      <c r="BQ41" s="1299"/>
      <c r="BR41" s="1258"/>
      <c r="BS41" s="220"/>
      <c r="BT41" s="1283"/>
      <c r="BU41" s="1258"/>
      <c r="BV41" s="220"/>
      <c r="BW41" s="1283"/>
      <c r="BX41" s="1258"/>
      <c r="BY41" s="218"/>
      <c r="BZ41" s="1275"/>
      <c r="CB41" s="1283"/>
      <c r="CC41" s="1258"/>
      <c r="CD41" s="220"/>
      <c r="CE41" s="1299"/>
      <c r="CF41" s="1258"/>
      <c r="CG41" s="220"/>
      <c r="CH41" s="1283"/>
      <c r="CI41" s="1258"/>
      <c r="CJ41" s="220"/>
      <c r="CK41" s="1283"/>
      <c r="CL41" s="1258"/>
      <c r="CM41" s="218"/>
      <c r="CN41" s="1275"/>
    </row>
    <row r="42" spans="2:92" ht="28.5" x14ac:dyDescent="0.2">
      <c r="B42" s="1345"/>
      <c r="C42" s="1231"/>
      <c r="D42" s="1215"/>
      <c r="E42" s="1212"/>
      <c r="F42" s="1210"/>
      <c r="G42" s="335" t="str">
        <f>+'Plan de Accion apoyo transversa'!X24</f>
        <v>Recursos de casación y representación judicial</v>
      </c>
      <c r="H42" s="1219"/>
      <c r="I42" s="220"/>
      <c r="J42" s="230">
        <f>+'Plan de Accion apoyo transversa'!AW24</f>
        <v>0</v>
      </c>
      <c r="K42" s="503">
        <f>+'Plan de Accion apoyo transversa'!CF24</f>
        <v>0</v>
      </c>
      <c r="L42" s="503">
        <f>IF(K42&gt;100%,100%,K42)</f>
        <v>0</v>
      </c>
      <c r="M42" s="503">
        <f>+'Plan de Accion apoyo transversa'!AY24</f>
        <v>0</v>
      </c>
      <c r="N42" s="503">
        <f t="shared" si="30"/>
        <v>0</v>
      </c>
      <c r="O42" s="503">
        <f>+N42</f>
        <v>0</v>
      </c>
      <c r="P42" s="229"/>
      <c r="Q42" s="230">
        <f>+'Plan de Accion apoyo transversa'!BG24</f>
        <v>0</v>
      </c>
      <c r="R42" s="266">
        <f>+'Plan de Accion apoyo transversa'!CH24</f>
        <v>0</v>
      </c>
      <c r="S42" s="228">
        <f>IF(R42&gt;100%,100%,R42)</f>
        <v>0</v>
      </c>
      <c r="T42" s="324">
        <f>+'Plan de Accion apoyo transversa'!BI24</f>
        <v>0</v>
      </c>
      <c r="U42" s="324">
        <f t="shared" si="34"/>
        <v>0</v>
      </c>
      <c r="V42" s="227">
        <f>+U42</f>
        <v>0</v>
      </c>
      <c r="W42" s="229"/>
      <c r="X42" s="230">
        <f>+'Plan de Accion apoyo transversa'!BQ24</f>
        <v>0</v>
      </c>
      <c r="Y42" s="266">
        <f>+'Plan de Accion apoyo transversa'!CJ24</f>
        <v>0</v>
      </c>
      <c r="Z42" s="228">
        <f t="shared" ref="Z42:Z49" si="37">IF(Y42&gt;100%,100%,Y42)</f>
        <v>0</v>
      </c>
      <c r="AA42" s="233">
        <f>+'Plan de Accion apoyo transversa'!BS24</f>
        <v>0</v>
      </c>
      <c r="AB42" s="233">
        <f t="shared" si="35"/>
        <v>0</v>
      </c>
      <c r="AC42" s="322">
        <f t="shared" ref="AC42:AC49" si="38">+AB42</f>
        <v>0</v>
      </c>
      <c r="AD42" s="229"/>
      <c r="AE42" s="230">
        <f>+'Plan de Accion apoyo transversa'!CA24</f>
        <v>0</v>
      </c>
      <c r="AF42" s="266">
        <f>+'Plan de Accion apoyo transversa'!CL24</f>
        <v>0</v>
      </c>
      <c r="AG42" s="228">
        <f t="shared" ref="AG42:AG58" si="39">IF(AF42&gt;100%,100%,AF42)</f>
        <v>0</v>
      </c>
      <c r="AH42" s="266">
        <f>+'Plan de Accion apoyo transversa'!CC24</f>
        <v>0</v>
      </c>
      <c r="AI42" s="227">
        <f t="shared" si="36"/>
        <v>0</v>
      </c>
      <c r="AJ42" s="1256"/>
      <c r="AL42" s="1283"/>
      <c r="AM42" s="1258"/>
      <c r="AN42" s="220"/>
      <c r="AO42" s="1299"/>
      <c r="AP42" s="1258"/>
      <c r="AQ42" s="220"/>
      <c r="AR42" s="1283"/>
      <c r="AS42" s="1258"/>
      <c r="AT42" s="220"/>
      <c r="AU42" s="1283"/>
      <c r="AV42" s="1258"/>
      <c r="AW42" s="218"/>
      <c r="AX42" s="1275"/>
      <c r="AZ42" s="1283"/>
      <c r="BA42" s="1258"/>
      <c r="BB42" s="220"/>
      <c r="BC42" s="1299"/>
      <c r="BD42" s="1258"/>
      <c r="BE42" s="220"/>
      <c r="BF42" s="1283"/>
      <c r="BG42" s="1258"/>
      <c r="BH42" s="220"/>
      <c r="BI42" s="1283"/>
      <c r="BJ42" s="1258"/>
      <c r="BK42" s="218"/>
      <c r="BL42" s="1275"/>
      <c r="BN42" s="1283"/>
      <c r="BO42" s="1258"/>
      <c r="BP42" s="220"/>
      <c r="BQ42" s="1299"/>
      <c r="BR42" s="1258"/>
      <c r="BS42" s="220"/>
      <c r="BT42" s="1283"/>
      <c r="BU42" s="1258"/>
      <c r="BV42" s="220"/>
      <c r="BW42" s="1283"/>
      <c r="BX42" s="1258"/>
      <c r="BY42" s="218"/>
      <c r="BZ42" s="1275"/>
      <c r="CB42" s="1283"/>
      <c r="CC42" s="1258"/>
      <c r="CD42" s="220"/>
      <c r="CE42" s="1299"/>
      <c r="CF42" s="1258"/>
      <c r="CG42" s="220"/>
      <c r="CH42" s="1283"/>
      <c r="CI42" s="1258"/>
      <c r="CJ42" s="220"/>
      <c r="CK42" s="1283"/>
      <c r="CL42" s="1258"/>
      <c r="CM42" s="218"/>
      <c r="CN42" s="1275"/>
    </row>
    <row r="43" spans="2:92" ht="47.25" customHeight="1" x14ac:dyDescent="0.2">
      <c r="B43" s="1345"/>
      <c r="C43" s="1231"/>
      <c r="D43" s="1215"/>
      <c r="E43" s="1212"/>
      <c r="F43" s="1210"/>
      <c r="G43" s="335" t="str">
        <f>+'Plan de Accion apoyo transversa'!X25</f>
        <v>Vigilancia judicial</v>
      </c>
      <c r="H43" s="1219"/>
      <c r="I43" s="220"/>
      <c r="J43" s="230">
        <f>+'Plan de Accion apoyo transversa'!AW25</f>
        <v>0</v>
      </c>
      <c r="K43" s="503">
        <f>+'Plan de Accion apoyo transversa'!CF25</f>
        <v>0</v>
      </c>
      <c r="L43" s="503">
        <f>IF(K43&gt;100%,100%,K43)</f>
        <v>0</v>
      </c>
      <c r="M43" s="503">
        <f>+'Plan de Accion apoyo transversa'!AY25</f>
        <v>0</v>
      </c>
      <c r="N43" s="503">
        <f>IF(M43&gt;100%,100%,M43)</f>
        <v>0</v>
      </c>
      <c r="O43" s="503">
        <f>+N43</f>
        <v>0</v>
      </c>
      <c r="P43" s="229"/>
      <c r="Q43" s="230">
        <f>+'Plan de Accion apoyo transversa'!BG25</f>
        <v>0.95158350466666664</v>
      </c>
      <c r="R43" s="266">
        <f>+'Plan de Accion apoyo transversa'!CH25</f>
        <v>0.95158350466666664</v>
      </c>
      <c r="S43" s="228">
        <f>IF(R43&gt;100%,100%,R43)</f>
        <v>0.95158350466666664</v>
      </c>
      <c r="T43" s="324">
        <f>+'Plan de Accion apoyo transversa'!BI25</f>
        <v>0.23789587616666666</v>
      </c>
      <c r="U43" s="324">
        <f t="shared" si="34"/>
        <v>0.23789587616666666</v>
      </c>
      <c r="V43" s="227">
        <f>+U43</f>
        <v>0.23789587616666666</v>
      </c>
      <c r="W43" s="229"/>
      <c r="X43" s="230">
        <f>+'Plan de Accion apoyo transversa'!BQ25</f>
        <v>0</v>
      </c>
      <c r="Y43" s="266">
        <f>+'Plan de Accion apoyo transversa'!CJ25</f>
        <v>0</v>
      </c>
      <c r="Z43" s="228">
        <f t="shared" si="37"/>
        <v>0</v>
      </c>
      <c r="AA43" s="233">
        <f>+'Plan de Accion apoyo transversa'!BS25</f>
        <v>0.23789587616666666</v>
      </c>
      <c r="AB43" s="233">
        <f t="shared" si="35"/>
        <v>0.23789587616666666</v>
      </c>
      <c r="AC43" s="322">
        <f t="shared" si="38"/>
        <v>0.23789587616666666</v>
      </c>
      <c r="AD43" s="229"/>
      <c r="AE43" s="230">
        <f>+'Plan de Accion apoyo transversa'!CA25</f>
        <v>0</v>
      </c>
      <c r="AF43" s="266">
        <f>+'Plan de Accion apoyo transversa'!CL25</f>
        <v>0</v>
      </c>
      <c r="AG43" s="228">
        <f t="shared" si="39"/>
        <v>0</v>
      </c>
      <c r="AH43" s="266">
        <f>+'Plan de Accion apoyo transversa'!CC25</f>
        <v>0.23789587616666666</v>
      </c>
      <c r="AI43" s="227">
        <f t="shared" si="36"/>
        <v>0.23789587616666666</v>
      </c>
      <c r="AJ43" s="1256"/>
      <c r="AL43" s="1283"/>
      <c r="AM43" s="1258"/>
      <c r="AN43" s="220"/>
      <c r="AO43" s="1299"/>
      <c r="AP43" s="1258"/>
      <c r="AQ43" s="220"/>
      <c r="AR43" s="1283"/>
      <c r="AS43" s="1258"/>
      <c r="AT43" s="220"/>
      <c r="AU43" s="1283"/>
      <c r="AV43" s="1258"/>
      <c r="AW43" s="218"/>
      <c r="AX43" s="1275"/>
      <c r="AZ43" s="1283"/>
      <c r="BA43" s="1258"/>
      <c r="BB43" s="220"/>
      <c r="BC43" s="1299"/>
      <c r="BD43" s="1258"/>
      <c r="BE43" s="220"/>
      <c r="BF43" s="1283"/>
      <c r="BG43" s="1258"/>
      <c r="BH43" s="220"/>
      <c r="BI43" s="1283"/>
      <c r="BJ43" s="1258"/>
      <c r="BK43" s="218"/>
      <c r="BL43" s="1275"/>
      <c r="BN43" s="1283"/>
      <c r="BO43" s="1258"/>
      <c r="BP43" s="220"/>
      <c r="BQ43" s="1299"/>
      <c r="BR43" s="1258"/>
      <c r="BS43" s="220"/>
      <c r="BT43" s="1283"/>
      <c r="BU43" s="1258"/>
      <c r="BV43" s="220"/>
      <c r="BW43" s="1283"/>
      <c r="BX43" s="1258"/>
      <c r="BY43" s="218"/>
      <c r="BZ43" s="1275"/>
      <c r="CB43" s="1283"/>
      <c r="CC43" s="1258"/>
      <c r="CD43" s="220"/>
      <c r="CE43" s="1299"/>
      <c r="CF43" s="1258"/>
      <c r="CG43" s="220"/>
      <c r="CH43" s="1283"/>
      <c r="CI43" s="1258"/>
      <c r="CJ43" s="220"/>
      <c r="CK43" s="1283"/>
      <c r="CL43" s="1258"/>
      <c r="CM43" s="218"/>
      <c r="CN43" s="1275"/>
    </row>
    <row r="44" spans="2:92" ht="42.75" x14ac:dyDescent="0.2">
      <c r="B44" s="1345"/>
      <c r="C44" s="1231"/>
      <c r="D44" s="1215"/>
      <c r="E44" s="1212"/>
      <c r="F44" s="1210"/>
      <c r="G44" s="335" t="str">
        <f>+'Plan de Accion apoyo transversa'!X26</f>
        <v>Revisión, análisis y liquidación de sentencias condenatorias</v>
      </c>
      <c r="H44" s="1219"/>
      <c r="I44" s="220"/>
      <c r="J44" s="1246">
        <f>+'Plan de Accion apoyo transversa'!AW26</f>
        <v>0.58888886130175699</v>
      </c>
      <c r="K44" s="1197">
        <f>+'Plan de Accion apoyo transversa'!CF26</f>
        <v>0.58888886130175699</v>
      </c>
      <c r="L44" s="1197">
        <f>IF(K44&gt;100%,100%,K44)</f>
        <v>0.58888886130175699</v>
      </c>
      <c r="M44" s="1197">
        <f>+'Plan de Accion apoyo transversa'!AY26</f>
        <v>0.14722221532543925</v>
      </c>
      <c r="N44" s="1197">
        <f>IF(M44&gt;100%,100%,M44)</f>
        <v>0.14722221532543925</v>
      </c>
      <c r="O44" s="1197">
        <f>+N44</f>
        <v>0.14722221532543925</v>
      </c>
      <c r="P44" s="229"/>
      <c r="Q44" s="1246">
        <f>+'Plan de Accion apoyo transversa'!BG26</f>
        <v>1</v>
      </c>
      <c r="R44" s="1249">
        <f>+'Plan de Accion apoyo transversa'!CH26</f>
        <v>1</v>
      </c>
      <c r="S44" s="1249">
        <f>IF(R44&gt;100%,100%,R44)</f>
        <v>1</v>
      </c>
      <c r="T44" s="1249">
        <f>+'Plan de Accion apoyo transversa'!BI26</f>
        <v>0.39722221532543928</v>
      </c>
      <c r="U44" s="1249">
        <f t="shared" si="34"/>
        <v>0.39722221532543928</v>
      </c>
      <c r="V44" s="1252">
        <f>+U44</f>
        <v>0.39722221532543928</v>
      </c>
      <c r="W44" s="229"/>
      <c r="X44" s="1246">
        <f>+'Plan de Accion apoyo transversa'!BQ26</f>
        <v>0</v>
      </c>
      <c r="Y44" s="1249">
        <f>+'Plan de Accion apoyo transversa'!CJ26</f>
        <v>0</v>
      </c>
      <c r="Z44" s="1249">
        <f t="shared" si="37"/>
        <v>0</v>
      </c>
      <c r="AA44" s="1254">
        <f>+'Plan de Accion apoyo transversa'!BS26</f>
        <v>0.39722221532543928</v>
      </c>
      <c r="AB44" s="1254">
        <f t="shared" si="35"/>
        <v>0.39722221532543928</v>
      </c>
      <c r="AC44" s="1244">
        <f t="shared" si="38"/>
        <v>0.39722221532543928</v>
      </c>
      <c r="AD44" s="229"/>
      <c r="AE44" s="1246">
        <f>+'Plan de Accion apoyo transversa'!CA26</f>
        <v>0</v>
      </c>
      <c r="AF44" s="1249">
        <f>+'Plan de Accion apoyo transversa'!CL26</f>
        <v>0</v>
      </c>
      <c r="AG44" s="1249">
        <f t="shared" si="39"/>
        <v>0</v>
      </c>
      <c r="AH44" s="1249">
        <f>+'Plan de Accion apoyo transversa'!CC26</f>
        <v>0.39722221532543928</v>
      </c>
      <c r="AI44" s="1252">
        <f t="shared" si="36"/>
        <v>0.39722221532543928</v>
      </c>
      <c r="AJ44" s="1256"/>
      <c r="AL44" s="1283"/>
      <c r="AM44" s="1258"/>
      <c r="AN44" s="220"/>
      <c r="AO44" s="1299"/>
      <c r="AP44" s="1258"/>
      <c r="AQ44" s="220"/>
      <c r="AR44" s="1283"/>
      <c r="AS44" s="1258"/>
      <c r="AT44" s="220"/>
      <c r="AU44" s="1283"/>
      <c r="AV44" s="1258"/>
      <c r="AW44" s="218"/>
      <c r="AX44" s="1275"/>
      <c r="AZ44" s="1283"/>
      <c r="BA44" s="1258"/>
      <c r="BB44" s="220"/>
      <c r="BC44" s="1299"/>
      <c r="BD44" s="1258"/>
      <c r="BE44" s="220"/>
      <c r="BF44" s="1283"/>
      <c r="BG44" s="1258"/>
      <c r="BH44" s="220"/>
      <c r="BI44" s="1283"/>
      <c r="BJ44" s="1258"/>
      <c r="BK44" s="218"/>
      <c r="BL44" s="1275"/>
      <c r="BN44" s="1283"/>
      <c r="BO44" s="1258"/>
      <c r="BP44" s="220"/>
      <c r="BQ44" s="1299"/>
      <c r="BR44" s="1258"/>
      <c r="BS44" s="220"/>
      <c r="BT44" s="1283"/>
      <c r="BU44" s="1258"/>
      <c r="BV44" s="220"/>
      <c r="BW44" s="1283"/>
      <c r="BX44" s="1258"/>
      <c r="BY44" s="218"/>
      <c r="BZ44" s="1275"/>
      <c r="CB44" s="1283"/>
      <c r="CC44" s="1258"/>
      <c r="CD44" s="220"/>
      <c r="CE44" s="1299"/>
      <c r="CF44" s="1258"/>
      <c r="CG44" s="220"/>
      <c r="CH44" s="1283"/>
      <c r="CI44" s="1258"/>
      <c r="CJ44" s="220"/>
      <c r="CK44" s="1283"/>
      <c r="CL44" s="1258"/>
      <c r="CM44" s="218"/>
      <c r="CN44" s="1275"/>
    </row>
    <row r="45" spans="2:92" ht="16.5" customHeight="1" thickBot="1" x14ac:dyDescent="0.25">
      <c r="B45" s="1345"/>
      <c r="C45" s="1231"/>
      <c r="D45" s="1215"/>
      <c r="E45" s="1212"/>
      <c r="F45" s="1210"/>
      <c r="G45" s="335" t="str">
        <f>+'Plan de Accion apoyo transversa'!X27</f>
        <v>Procesos radicados en Ekogui</v>
      </c>
      <c r="H45" s="1219"/>
      <c r="I45" s="220"/>
      <c r="J45" s="1247"/>
      <c r="K45" s="1198"/>
      <c r="L45" s="1198"/>
      <c r="M45" s="1198"/>
      <c r="N45" s="1198"/>
      <c r="O45" s="1198"/>
      <c r="P45" s="229"/>
      <c r="Q45" s="1247"/>
      <c r="R45" s="1250"/>
      <c r="S45" s="1250"/>
      <c r="T45" s="1250"/>
      <c r="U45" s="1250"/>
      <c r="V45" s="1281"/>
      <c r="W45" s="229"/>
      <c r="X45" s="1247"/>
      <c r="Y45" s="1250"/>
      <c r="Z45" s="1250"/>
      <c r="AA45" s="1296"/>
      <c r="AB45" s="1296"/>
      <c r="AC45" s="1297"/>
      <c r="AD45" s="229"/>
      <c r="AE45" s="1247"/>
      <c r="AF45" s="1250"/>
      <c r="AG45" s="1250"/>
      <c r="AH45" s="1250"/>
      <c r="AI45" s="1281"/>
      <c r="AJ45" s="1257"/>
      <c r="AL45" s="1284"/>
      <c r="AM45" s="1259"/>
      <c r="AN45" s="220"/>
      <c r="AO45" s="1300"/>
      <c r="AP45" s="1259"/>
      <c r="AQ45" s="220"/>
      <c r="AR45" s="1284"/>
      <c r="AS45" s="1259"/>
      <c r="AT45" s="220"/>
      <c r="AU45" s="1284"/>
      <c r="AV45" s="1259"/>
      <c r="AW45" s="218"/>
      <c r="AX45" s="1276"/>
      <c r="AZ45" s="1284"/>
      <c r="BA45" s="1259"/>
      <c r="BB45" s="220"/>
      <c r="BC45" s="1300"/>
      <c r="BD45" s="1259"/>
      <c r="BE45" s="220"/>
      <c r="BF45" s="1284"/>
      <c r="BG45" s="1259"/>
      <c r="BH45" s="220"/>
      <c r="BI45" s="1284"/>
      <c r="BJ45" s="1259"/>
      <c r="BK45" s="218"/>
      <c r="BL45" s="1276"/>
      <c r="BN45" s="1284"/>
      <c r="BO45" s="1259"/>
      <c r="BP45" s="220"/>
      <c r="BQ45" s="1300"/>
      <c r="BR45" s="1259"/>
      <c r="BS45" s="220"/>
      <c r="BT45" s="1284"/>
      <c r="BU45" s="1259"/>
      <c r="BV45" s="220"/>
      <c r="BW45" s="1284"/>
      <c r="BX45" s="1259"/>
      <c r="BY45" s="218"/>
      <c r="BZ45" s="1276"/>
      <c r="CB45" s="1284"/>
      <c r="CC45" s="1259"/>
      <c r="CD45" s="220"/>
      <c r="CE45" s="1300"/>
      <c r="CF45" s="1259"/>
      <c r="CG45" s="220"/>
      <c r="CH45" s="1284"/>
      <c r="CI45" s="1259"/>
      <c r="CJ45" s="220"/>
      <c r="CK45" s="1284"/>
      <c r="CL45" s="1259"/>
      <c r="CM45" s="218"/>
      <c r="CN45" s="1276"/>
    </row>
    <row r="46" spans="2:92" ht="71.25" x14ac:dyDescent="0.2">
      <c r="B46" s="1345"/>
      <c r="C46" s="1231"/>
      <c r="D46" s="1215"/>
      <c r="E46" s="1212"/>
      <c r="F46" s="1210"/>
      <c r="G46" s="335" t="str">
        <f>+'Plan de Accion apoyo transversa'!X28</f>
        <v>Entrega de la provisión de contingencias judiciales al Grupo de Gestión Contable y Control de Recursos ET en la fecha pactada</v>
      </c>
      <c r="H46" s="1219"/>
      <c r="I46" s="220"/>
      <c r="J46" s="1248"/>
      <c r="K46" s="1199"/>
      <c r="L46" s="1199"/>
      <c r="M46" s="1199"/>
      <c r="N46" s="1199"/>
      <c r="O46" s="1199"/>
      <c r="P46" s="229"/>
      <c r="Q46" s="1248"/>
      <c r="R46" s="1251"/>
      <c r="S46" s="1251"/>
      <c r="T46" s="1251"/>
      <c r="U46" s="1251"/>
      <c r="V46" s="1253"/>
      <c r="W46" s="229"/>
      <c r="X46" s="1248"/>
      <c r="Y46" s="1251"/>
      <c r="Z46" s="1251"/>
      <c r="AA46" s="1255"/>
      <c r="AB46" s="1255"/>
      <c r="AC46" s="1245"/>
      <c r="AD46" s="229"/>
      <c r="AE46" s="1248"/>
      <c r="AF46" s="1251"/>
      <c r="AG46" s="1251"/>
      <c r="AH46" s="1251"/>
      <c r="AI46" s="1253"/>
      <c r="AJ46" s="248"/>
      <c r="AL46" s="1267"/>
      <c r="AM46" s="1267"/>
      <c r="AN46" s="220"/>
      <c r="AO46" s="1268"/>
      <c r="AP46" s="1267"/>
      <c r="AQ46" s="220"/>
      <c r="AR46" s="1267"/>
      <c r="AS46" s="1267"/>
      <c r="AT46" s="220"/>
      <c r="AU46" s="1267"/>
      <c r="AV46" s="1267"/>
      <c r="AW46" s="218"/>
      <c r="AX46" s="247"/>
      <c r="AZ46" s="1267"/>
      <c r="BA46" s="1267"/>
      <c r="BB46" s="220"/>
      <c r="BC46" s="1268"/>
      <c r="BD46" s="1267"/>
      <c r="BE46" s="220"/>
      <c r="BF46" s="1267"/>
      <c r="BG46" s="1267"/>
      <c r="BH46" s="220"/>
      <c r="BI46" s="1267"/>
      <c r="BJ46" s="1267"/>
      <c r="BK46" s="218"/>
      <c r="BL46" s="247"/>
      <c r="BN46" s="1267"/>
      <c r="BO46" s="1267"/>
      <c r="BP46" s="220"/>
      <c r="BQ46" s="1268"/>
      <c r="BR46" s="1267"/>
      <c r="BS46" s="220"/>
      <c r="BT46" s="1267"/>
      <c r="BU46" s="1267"/>
      <c r="BV46" s="220"/>
      <c r="BW46" s="1267"/>
      <c r="BX46" s="1267"/>
      <c r="BY46" s="218"/>
      <c r="BZ46" s="247"/>
      <c r="CB46" s="1267"/>
      <c r="CC46" s="1267"/>
      <c r="CD46" s="220"/>
      <c r="CE46" s="1268"/>
      <c r="CF46" s="1267"/>
      <c r="CG46" s="220"/>
      <c r="CH46" s="1267"/>
      <c r="CI46" s="1267"/>
      <c r="CJ46" s="220"/>
      <c r="CK46" s="1267"/>
      <c r="CL46" s="1267"/>
      <c r="CM46" s="218"/>
      <c r="CN46" s="247"/>
    </row>
    <row r="47" spans="2:92" ht="42.75" customHeight="1" x14ac:dyDescent="0.2">
      <c r="B47" s="1345"/>
      <c r="C47" s="1231"/>
      <c r="D47" s="1215"/>
      <c r="E47" s="1212"/>
      <c r="F47" s="1210"/>
      <c r="G47" s="1211" t="str">
        <f>+'Plan de Accion apoyo transversa'!X29</f>
        <v>Intervención en los procesos e investigaciones penales</v>
      </c>
      <c r="H47" s="1219"/>
      <c r="I47" s="220"/>
      <c r="J47" s="1246">
        <f>+'Plan de Accion apoyo transversa'!AW29</f>
        <v>0.58888887585826222</v>
      </c>
      <c r="K47" s="1197">
        <f>+'Plan de Accion apoyo transversa'!CF29</f>
        <v>0.58888887585826222</v>
      </c>
      <c r="L47" s="1197">
        <f>IF(K47&gt;100%,100%,K47)</f>
        <v>0.58888887585826222</v>
      </c>
      <c r="M47" s="1197">
        <f>+'Plan de Accion apoyo transversa'!AY29</f>
        <v>0.14722221896456555</v>
      </c>
      <c r="N47" s="1197">
        <f>IF(M47&gt;100%,100%,M47)</f>
        <v>0.14722221896456555</v>
      </c>
      <c r="O47" s="1197">
        <f>+N47</f>
        <v>0.14722221896456555</v>
      </c>
      <c r="P47" s="229"/>
      <c r="Q47" s="1246">
        <f>+'Plan de Accion apoyo transversa'!BG29</f>
        <v>1</v>
      </c>
      <c r="R47" s="1249">
        <f>+'Plan de Accion apoyo transversa'!CH29</f>
        <v>1</v>
      </c>
      <c r="S47" s="1249">
        <f>IF(R47&gt;100%,100%,R47)</f>
        <v>1</v>
      </c>
      <c r="T47" s="1249">
        <f>+'Plan de Accion apoyo transversa'!BI29</f>
        <v>0.39722221896456555</v>
      </c>
      <c r="U47" s="1249">
        <f t="shared" si="34"/>
        <v>0.39722221896456555</v>
      </c>
      <c r="V47" s="1252">
        <f>+U47</f>
        <v>0.39722221896456555</v>
      </c>
      <c r="W47" s="229"/>
      <c r="X47" s="1246">
        <f>+'Plan de Accion apoyo transversa'!BQ29</f>
        <v>0</v>
      </c>
      <c r="Y47" s="1249">
        <f>+'Plan de Accion apoyo transversa'!CJ29</f>
        <v>0</v>
      </c>
      <c r="Z47" s="1249">
        <f t="shared" si="37"/>
        <v>0</v>
      </c>
      <c r="AA47" s="1254">
        <f>+'Plan de Accion apoyo transversa'!BS29</f>
        <v>0.39722221896456555</v>
      </c>
      <c r="AB47" s="1254">
        <f t="shared" si="35"/>
        <v>0.39722221896456555</v>
      </c>
      <c r="AC47" s="1244">
        <f t="shared" si="38"/>
        <v>0.39722221896456555</v>
      </c>
      <c r="AD47" s="229"/>
      <c r="AE47" s="1246">
        <f>+'Plan de Accion apoyo transversa'!CA29</f>
        <v>0</v>
      </c>
      <c r="AF47" s="1249">
        <f>+'Plan de Accion apoyo transversa'!CL29</f>
        <v>0</v>
      </c>
      <c r="AG47" s="1249">
        <f t="shared" si="39"/>
        <v>0</v>
      </c>
      <c r="AH47" s="1249">
        <f>+'Plan de Accion apoyo transversa'!CC29</f>
        <v>0.39722221896456555</v>
      </c>
      <c r="AI47" s="1252">
        <f t="shared" si="36"/>
        <v>0.39722221896456555</v>
      </c>
      <c r="AJ47" s="246"/>
      <c r="AL47" s="1258"/>
      <c r="AM47" s="1258"/>
      <c r="AN47" s="220"/>
      <c r="AO47" s="1269"/>
      <c r="AP47" s="1258"/>
      <c r="AQ47" s="220"/>
      <c r="AR47" s="1258"/>
      <c r="AS47" s="1258"/>
      <c r="AT47" s="220"/>
      <c r="AU47" s="1258"/>
      <c r="AV47" s="1258"/>
      <c r="AW47" s="218"/>
      <c r="AX47" s="245"/>
      <c r="AZ47" s="1258"/>
      <c r="BA47" s="1258"/>
      <c r="BB47" s="220"/>
      <c r="BC47" s="1269"/>
      <c r="BD47" s="1258"/>
      <c r="BE47" s="220"/>
      <c r="BF47" s="1258"/>
      <c r="BG47" s="1258"/>
      <c r="BH47" s="220"/>
      <c r="BI47" s="1258"/>
      <c r="BJ47" s="1258"/>
      <c r="BK47" s="218"/>
      <c r="BL47" s="245"/>
      <c r="BN47" s="1258"/>
      <c r="BO47" s="1258"/>
      <c r="BP47" s="220"/>
      <c r="BQ47" s="1269"/>
      <c r="BR47" s="1258"/>
      <c r="BS47" s="220"/>
      <c r="BT47" s="1258"/>
      <c r="BU47" s="1258"/>
      <c r="BV47" s="220"/>
      <c r="BW47" s="1258"/>
      <c r="BX47" s="1258"/>
      <c r="BY47" s="218"/>
      <c r="BZ47" s="245"/>
      <c r="CB47" s="1258"/>
      <c r="CC47" s="1258"/>
      <c r="CD47" s="220"/>
      <c r="CE47" s="1269"/>
      <c r="CF47" s="1258"/>
      <c r="CG47" s="220"/>
      <c r="CH47" s="1258"/>
      <c r="CI47" s="1258"/>
      <c r="CJ47" s="220"/>
      <c r="CK47" s="1258"/>
      <c r="CL47" s="1258"/>
      <c r="CM47" s="218"/>
      <c r="CN47" s="245"/>
    </row>
    <row r="48" spans="2:92" ht="15.75" thickBot="1" x14ac:dyDescent="0.25">
      <c r="B48" s="1345"/>
      <c r="C48" s="1231"/>
      <c r="D48" s="1215"/>
      <c r="E48" s="1212"/>
      <c r="F48" s="1210"/>
      <c r="G48" s="1213"/>
      <c r="H48" s="1219"/>
      <c r="I48" s="220"/>
      <c r="J48" s="1248"/>
      <c r="K48" s="1199"/>
      <c r="L48" s="1199"/>
      <c r="M48" s="1199"/>
      <c r="N48" s="1199"/>
      <c r="O48" s="1199"/>
      <c r="P48" s="229"/>
      <c r="Q48" s="1248"/>
      <c r="R48" s="1251"/>
      <c r="S48" s="1251"/>
      <c r="T48" s="1251"/>
      <c r="U48" s="1251"/>
      <c r="V48" s="1253"/>
      <c r="W48" s="229"/>
      <c r="X48" s="1248"/>
      <c r="Y48" s="1251"/>
      <c r="Z48" s="1251"/>
      <c r="AA48" s="1255"/>
      <c r="AB48" s="1255"/>
      <c r="AC48" s="1245"/>
      <c r="AD48" s="229"/>
      <c r="AE48" s="1248"/>
      <c r="AF48" s="1251"/>
      <c r="AG48" s="1251"/>
      <c r="AH48" s="1251"/>
      <c r="AI48" s="1253"/>
      <c r="AJ48" s="244"/>
      <c r="AL48" s="1259"/>
      <c r="AM48" s="1259"/>
      <c r="AN48" s="220"/>
      <c r="AO48" s="1270"/>
      <c r="AP48" s="1259"/>
      <c r="AQ48" s="220"/>
      <c r="AR48" s="1259"/>
      <c r="AS48" s="1259"/>
      <c r="AT48" s="220"/>
      <c r="AU48" s="1259"/>
      <c r="AV48" s="1259"/>
      <c r="AW48" s="218"/>
      <c r="AX48" s="243"/>
      <c r="AZ48" s="1259"/>
      <c r="BA48" s="1259"/>
      <c r="BB48" s="220"/>
      <c r="BC48" s="1270"/>
      <c r="BD48" s="1259"/>
      <c r="BE48" s="220"/>
      <c r="BF48" s="1259"/>
      <c r="BG48" s="1259"/>
      <c r="BH48" s="220"/>
      <c r="BI48" s="1259"/>
      <c r="BJ48" s="1259"/>
      <c r="BK48" s="218"/>
      <c r="BL48" s="243"/>
      <c r="BN48" s="1259"/>
      <c r="BO48" s="1259"/>
      <c r="BP48" s="220"/>
      <c r="BQ48" s="1270"/>
      <c r="BR48" s="1259"/>
      <c r="BS48" s="220"/>
      <c r="BT48" s="1259"/>
      <c r="BU48" s="1259"/>
      <c r="BV48" s="220"/>
      <c r="BW48" s="1259"/>
      <c r="BX48" s="1259"/>
      <c r="BY48" s="218"/>
      <c r="BZ48" s="243"/>
      <c r="CB48" s="1259"/>
      <c r="CC48" s="1259"/>
      <c r="CD48" s="220"/>
      <c r="CE48" s="1270"/>
      <c r="CF48" s="1259"/>
      <c r="CG48" s="220"/>
      <c r="CH48" s="1259"/>
      <c r="CI48" s="1259"/>
      <c r="CJ48" s="220"/>
      <c r="CK48" s="1259"/>
      <c r="CL48" s="1259"/>
      <c r="CM48" s="218"/>
      <c r="CN48" s="243"/>
    </row>
    <row r="49" spans="2:92" ht="28.5" x14ac:dyDescent="0.2">
      <c r="B49" s="1345"/>
      <c r="C49" s="1231"/>
      <c r="D49" s="1215"/>
      <c r="E49" s="1212"/>
      <c r="F49" s="1210"/>
      <c r="G49" s="335" t="str">
        <f>+'Plan de Accion apoyo transversa'!X31</f>
        <v>Demandas Contestadas Oportunamente</v>
      </c>
      <c r="H49" s="1219"/>
      <c r="I49" s="220"/>
      <c r="J49" s="1246">
        <f>+'Plan de Accion apoyo transversa'!AW31</f>
        <v>0.48026049959668166</v>
      </c>
      <c r="K49" s="1197">
        <f>+'Plan de Accion apoyo transversa'!CF31</f>
        <v>0.48026049959668166</v>
      </c>
      <c r="L49" s="1197">
        <f>IF(K49&gt;100%,100%,K49)</f>
        <v>0.48026049959668166</v>
      </c>
      <c r="M49" s="1197">
        <f>+'Plan de Accion apoyo transversa'!AY31</f>
        <v>0.12006512489917041</v>
      </c>
      <c r="N49" s="1197">
        <f>IF(M49&gt;100%,100%,M49)</f>
        <v>0.12006512489917041</v>
      </c>
      <c r="O49" s="1197">
        <f>+N49</f>
        <v>0.12006512489917041</v>
      </c>
      <c r="P49" s="229"/>
      <c r="Q49" s="1246">
        <f>+'Plan de Accion apoyo transversa'!BG31</f>
        <v>0.67021786896948821</v>
      </c>
      <c r="R49" s="1249">
        <f>+'Plan de Accion apoyo transversa'!CH31</f>
        <v>0.67021786896948821</v>
      </c>
      <c r="S49" s="1249">
        <f>IF(R49&gt;100%,100%,R49)</f>
        <v>0.67021786896948821</v>
      </c>
      <c r="T49" s="1249">
        <f>+'Plan de Accion apoyo transversa'!BI31</f>
        <v>0.28761959214154242</v>
      </c>
      <c r="U49" s="1249">
        <f t="shared" si="34"/>
        <v>0.28761959214154242</v>
      </c>
      <c r="V49" s="1252">
        <f>+U49</f>
        <v>0.28761959214154242</v>
      </c>
      <c r="W49" s="229"/>
      <c r="X49" s="1246">
        <f>+'Plan de Accion apoyo transversa'!BQ31</f>
        <v>0</v>
      </c>
      <c r="Y49" s="1249">
        <f>+'Plan de Accion apoyo transversa'!CJ31</f>
        <v>0</v>
      </c>
      <c r="Z49" s="1249">
        <f t="shared" si="37"/>
        <v>0</v>
      </c>
      <c r="AA49" s="1254">
        <f>+'Plan de Accion apoyo transversa'!BS31</f>
        <v>0.28761959214154242</v>
      </c>
      <c r="AB49" s="1254">
        <f t="shared" si="35"/>
        <v>0.28761959214154242</v>
      </c>
      <c r="AC49" s="1244">
        <f t="shared" si="38"/>
        <v>0.28761959214154242</v>
      </c>
      <c r="AD49" s="229"/>
      <c r="AE49" s="1246">
        <f>+'Plan de Accion apoyo transversa'!CA31</f>
        <v>0</v>
      </c>
      <c r="AF49" s="1249">
        <f>+'Plan de Accion apoyo transversa'!CL31</f>
        <v>0</v>
      </c>
      <c r="AG49" s="1249">
        <f t="shared" si="39"/>
        <v>0</v>
      </c>
      <c r="AH49" s="1249">
        <f>+'Plan de Accion apoyo transversa'!CC31</f>
        <v>0.28761959214154242</v>
      </c>
      <c r="AI49" s="1252">
        <f t="shared" si="36"/>
        <v>0.28761959214154242</v>
      </c>
      <c r="AJ49" s="248"/>
      <c r="AL49" s="223"/>
      <c r="AM49" s="223"/>
      <c r="AN49" s="220"/>
      <c r="AO49" s="224"/>
      <c r="AP49" s="223"/>
      <c r="AQ49" s="220"/>
      <c r="AR49" s="223"/>
      <c r="AS49" s="223"/>
      <c r="AT49" s="220"/>
      <c r="AU49" s="223"/>
      <c r="AV49" s="223"/>
      <c r="AW49" s="218"/>
      <c r="AX49" s="245"/>
      <c r="AZ49" s="223"/>
      <c r="BA49" s="223"/>
      <c r="BB49" s="220"/>
      <c r="BC49" s="224"/>
      <c r="BD49" s="223"/>
      <c r="BE49" s="220"/>
      <c r="BF49" s="223"/>
      <c r="BG49" s="223"/>
      <c r="BH49" s="220"/>
      <c r="BI49" s="223"/>
      <c r="BJ49" s="223"/>
      <c r="BK49" s="218"/>
      <c r="BL49" s="245"/>
      <c r="BN49" s="223"/>
      <c r="BO49" s="223"/>
      <c r="BP49" s="220"/>
      <c r="BQ49" s="224"/>
      <c r="BR49" s="223"/>
      <c r="BS49" s="220"/>
      <c r="BT49" s="223"/>
      <c r="BU49" s="223"/>
      <c r="BV49" s="220"/>
      <c r="BW49" s="223"/>
      <c r="BX49" s="223"/>
      <c r="BY49" s="218"/>
      <c r="BZ49" s="245"/>
      <c r="CB49" s="223"/>
      <c r="CC49" s="223"/>
      <c r="CD49" s="220"/>
      <c r="CE49" s="224"/>
      <c r="CF49" s="223"/>
      <c r="CG49" s="220"/>
      <c r="CH49" s="223"/>
      <c r="CI49" s="223"/>
      <c r="CJ49" s="220"/>
      <c r="CK49" s="223"/>
      <c r="CL49" s="223"/>
      <c r="CM49" s="218"/>
      <c r="CN49" s="245"/>
    </row>
    <row r="50" spans="2:92" ht="28.5" x14ac:dyDescent="0.2">
      <c r="B50" s="1345"/>
      <c r="C50" s="1231"/>
      <c r="D50" s="1215"/>
      <c r="E50" s="1212"/>
      <c r="F50" s="1210"/>
      <c r="G50" s="335" t="str">
        <f>+'Plan de Accion apoyo transversa'!X32</f>
        <v>Respuestas a solicitudes de pruebas</v>
      </c>
      <c r="H50" s="1219"/>
      <c r="I50" s="220"/>
      <c r="J50" s="1247"/>
      <c r="K50" s="1198"/>
      <c r="L50" s="1198"/>
      <c r="M50" s="1198"/>
      <c r="N50" s="1198"/>
      <c r="O50" s="1198"/>
      <c r="P50" s="229"/>
      <c r="Q50" s="1247"/>
      <c r="R50" s="1250"/>
      <c r="S50" s="1250"/>
      <c r="T50" s="1250"/>
      <c r="U50" s="1250"/>
      <c r="V50" s="1281"/>
      <c r="W50" s="229"/>
      <c r="X50" s="1247"/>
      <c r="Y50" s="1250"/>
      <c r="Z50" s="1250"/>
      <c r="AA50" s="1296"/>
      <c r="AB50" s="1296"/>
      <c r="AC50" s="1297"/>
      <c r="AD50" s="229"/>
      <c r="AE50" s="1247"/>
      <c r="AF50" s="1250"/>
      <c r="AG50" s="1250"/>
      <c r="AH50" s="1250"/>
      <c r="AI50" s="1281"/>
      <c r="AJ50" s="246"/>
      <c r="AL50" s="223"/>
      <c r="AM50" s="223"/>
      <c r="AN50" s="220"/>
      <c r="AO50" s="224"/>
      <c r="AP50" s="223"/>
      <c r="AQ50" s="220"/>
      <c r="AR50" s="223"/>
      <c r="AS50" s="223"/>
      <c r="AT50" s="220"/>
      <c r="AU50" s="223"/>
      <c r="AV50" s="223"/>
      <c r="AW50" s="218"/>
      <c r="AX50" s="245"/>
      <c r="AZ50" s="223"/>
      <c r="BA50" s="223"/>
      <c r="BB50" s="220"/>
      <c r="BC50" s="224"/>
      <c r="BD50" s="223"/>
      <c r="BE50" s="220"/>
      <c r="BF50" s="223"/>
      <c r="BG50" s="223"/>
      <c r="BH50" s="220"/>
      <c r="BI50" s="223"/>
      <c r="BJ50" s="223"/>
      <c r="BK50" s="218"/>
      <c r="BL50" s="245"/>
      <c r="BN50" s="223"/>
      <c r="BO50" s="223"/>
      <c r="BP50" s="220"/>
      <c r="BQ50" s="224"/>
      <c r="BR50" s="223"/>
      <c r="BS50" s="220"/>
      <c r="BT50" s="223"/>
      <c r="BU50" s="223"/>
      <c r="BV50" s="220"/>
      <c r="BW50" s="223"/>
      <c r="BX50" s="223"/>
      <c r="BY50" s="218"/>
      <c r="BZ50" s="245"/>
      <c r="CB50" s="223"/>
      <c r="CC50" s="223"/>
      <c r="CD50" s="220"/>
      <c r="CE50" s="224"/>
      <c r="CF50" s="223"/>
      <c r="CG50" s="220"/>
      <c r="CH50" s="223"/>
      <c r="CI50" s="223"/>
      <c r="CJ50" s="220"/>
      <c r="CK50" s="223"/>
      <c r="CL50" s="223"/>
      <c r="CM50" s="218"/>
      <c r="CN50" s="245"/>
    </row>
    <row r="51" spans="2:92" ht="15.75" thickBot="1" x14ac:dyDescent="0.25">
      <c r="B51" s="1345"/>
      <c r="C51" s="1231"/>
      <c r="D51" s="1215"/>
      <c r="E51" s="1212"/>
      <c r="F51" s="1210"/>
      <c r="G51" s="335" t="str">
        <f>+'Plan de Accion apoyo transversa'!X33</f>
        <v xml:space="preserve">Fichas técnicas  </v>
      </c>
      <c r="H51" s="1219"/>
      <c r="I51" s="220"/>
      <c r="J51" s="1247"/>
      <c r="K51" s="1198"/>
      <c r="L51" s="1198"/>
      <c r="M51" s="1198"/>
      <c r="N51" s="1198"/>
      <c r="O51" s="1198"/>
      <c r="P51" s="229"/>
      <c r="Q51" s="1247"/>
      <c r="R51" s="1250"/>
      <c r="S51" s="1250"/>
      <c r="T51" s="1250"/>
      <c r="U51" s="1250"/>
      <c r="V51" s="1281"/>
      <c r="W51" s="229"/>
      <c r="X51" s="1247"/>
      <c r="Y51" s="1250"/>
      <c r="Z51" s="1250"/>
      <c r="AA51" s="1296"/>
      <c r="AB51" s="1296"/>
      <c r="AC51" s="1297"/>
      <c r="AD51" s="229"/>
      <c r="AE51" s="1247"/>
      <c r="AF51" s="1250"/>
      <c r="AG51" s="1250"/>
      <c r="AH51" s="1250"/>
      <c r="AI51" s="1281"/>
      <c r="AJ51" s="244"/>
      <c r="AL51" s="223"/>
      <c r="AM51" s="223"/>
      <c r="AN51" s="220"/>
      <c r="AO51" s="224"/>
      <c r="AP51" s="223"/>
      <c r="AQ51" s="220"/>
      <c r="AR51" s="223"/>
      <c r="AS51" s="223"/>
      <c r="AT51" s="220"/>
      <c r="AU51" s="223"/>
      <c r="AV51" s="223"/>
      <c r="AW51" s="218"/>
      <c r="AX51" s="245"/>
      <c r="AZ51" s="223"/>
      <c r="BA51" s="223"/>
      <c r="BB51" s="220"/>
      <c r="BC51" s="224"/>
      <c r="BD51" s="223"/>
      <c r="BE51" s="220"/>
      <c r="BF51" s="223"/>
      <c r="BG51" s="223"/>
      <c r="BH51" s="220"/>
      <c r="BI51" s="223"/>
      <c r="BJ51" s="223"/>
      <c r="BK51" s="218"/>
      <c r="BL51" s="245"/>
      <c r="BN51" s="223"/>
      <c r="BO51" s="223"/>
      <c r="BP51" s="220"/>
      <c r="BQ51" s="224"/>
      <c r="BR51" s="223"/>
      <c r="BS51" s="220"/>
      <c r="BT51" s="223"/>
      <c r="BU51" s="223"/>
      <c r="BV51" s="220"/>
      <c r="BW51" s="223"/>
      <c r="BX51" s="223"/>
      <c r="BY51" s="218"/>
      <c r="BZ51" s="245"/>
      <c r="CB51" s="223"/>
      <c r="CC51" s="223"/>
      <c r="CD51" s="220"/>
      <c r="CE51" s="224"/>
      <c r="CF51" s="223"/>
      <c r="CG51" s="220"/>
      <c r="CH51" s="223"/>
      <c r="CI51" s="223"/>
      <c r="CJ51" s="220"/>
      <c r="CK51" s="223"/>
      <c r="CL51" s="223"/>
      <c r="CM51" s="218"/>
      <c r="CN51" s="245"/>
    </row>
    <row r="52" spans="2:92" ht="15" x14ac:dyDescent="0.2">
      <c r="B52" s="1345"/>
      <c r="C52" s="1231"/>
      <c r="D52" s="1215"/>
      <c r="E52" s="1212"/>
      <c r="F52" s="1210"/>
      <c r="G52" s="335" t="str">
        <f>+'Plan de Accion apoyo transversa'!X34</f>
        <v xml:space="preserve">Fichas técnicas demandas </v>
      </c>
      <c r="H52" s="1219"/>
      <c r="I52" s="220"/>
      <c r="J52" s="1248"/>
      <c r="K52" s="1199"/>
      <c r="L52" s="1199"/>
      <c r="M52" s="1199"/>
      <c r="N52" s="1199"/>
      <c r="O52" s="1199"/>
      <c r="P52" s="229"/>
      <c r="Q52" s="1248"/>
      <c r="R52" s="1251"/>
      <c r="S52" s="1251"/>
      <c r="T52" s="1251"/>
      <c r="U52" s="1251"/>
      <c r="V52" s="1253"/>
      <c r="W52" s="229"/>
      <c r="X52" s="1248"/>
      <c r="Y52" s="1251"/>
      <c r="Z52" s="1251"/>
      <c r="AA52" s="1255"/>
      <c r="AB52" s="1255"/>
      <c r="AC52" s="1245"/>
      <c r="AD52" s="229"/>
      <c r="AE52" s="1248"/>
      <c r="AF52" s="1251"/>
      <c r="AG52" s="1251"/>
      <c r="AH52" s="1251"/>
      <c r="AI52" s="1253"/>
      <c r="AJ52" s="248"/>
      <c r="AL52" s="223"/>
      <c r="AM52" s="223"/>
      <c r="AN52" s="220"/>
      <c r="AO52" s="224"/>
      <c r="AP52" s="223"/>
      <c r="AQ52" s="220"/>
      <c r="AR52" s="223"/>
      <c r="AS52" s="223"/>
      <c r="AT52" s="220"/>
      <c r="AU52" s="223"/>
      <c r="AV52" s="223"/>
      <c r="AW52" s="218"/>
      <c r="AX52" s="245"/>
      <c r="AZ52" s="223"/>
      <c r="BA52" s="223"/>
      <c r="BB52" s="220"/>
      <c r="BC52" s="224"/>
      <c r="BD52" s="223"/>
      <c r="BE52" s="220"/>
      <c r="BF52" s="223"/>
      <c r="BG52" s="223"/>
      <c r="BH52" s="220"/>
      <c r="BI52" s="223"/>
      <c r="BJ52" s="223"/>
      <c r="BK52" s="218"/>
      <c r="BL52" s="245"/>
      <c r="BN52" s="223"/>
      <c r="BO52" s="223"/>
      <c r="BP52" s="220"/>
      <c r="BQ52" s="224"/>
      <c r="BR52" s="223"/>
      <c r="BS52" s="220"/>
      <c r="BT52" s="223"/>
      <c r="BU52" s="223"/>
      <c r="BV52" s="220"/>
      <c r="BW52" s="223"/>
      <c r="BX52" s="223"/>
      <c r="BY52" s="218"/>
      <c r="BZ52" s="245"/>
      <c r="CB52" s="223"/>
      <c r="CC52" s="223"/>
      <c r="CD52" s="220"/>
      <c r="CE52" s="224"/>
      <c r="CF52" s="223"/>
      <c r="CG52" s="220"/>
      <c r="CH52" s="223"/>
      <c r="CI52" s="223"/>
      <c r="CJ52" s="220"/>
      <c r="CK52" s="223"/>
      <c r="CL52" s="223"/>
      <c r="CM52" s="218"/>
      <c r="CN52" s="245"/>
    </row>
    <row r="53" spans="2:92" ht="42.75" x14ac:dyDescent="0.2">
      <c r="B53" s="1345"/>
      <c r="C53" s="1231"/>
      <c r="D53" s="1215"/>
      <c r="E53" s="1212"/>
      <c r="F53" s="1210"/>
      <c r="G53" s="335" t="str">
        <f>+'Plan de Accion apoyo transversa'!X35</f>
        <v>Recurrir los Actos Administrativos interpuestos por COLPENSIONES</v>
      </c>
      <c r="H53" s="1219"/>
      <c r="I53" s="220"/>
      <c r="J53" s="1246">
        <f>+'Plan de Accion apoyo transversa'!AW35</f>
        <v>0.73493975903614461</v>
      </c>
      <c r="K53" s="1197">
        <f>+'Plan de Accion apoyo transversa'!CF35</f>
        <v>0.73493975903614461</v>
      </c>
      <c r="L53" s="1197">
        <f>IF(K53&gt;100%,100%,K53)</f>
        <v>0.73493975903614461</v>
      </c>
      <c r="M53" s="1197">
        <f>+'Plan de Accion apoyo transversa'!AY35</f>
        <v>0.18373493975903615</v>
      </c>
      <c r="N53" s="1197">
        <f>IF(M53&gt;100%,100%,M53)</f>
        <v>0.18373493975903615</v>
      </c>
      <c r="O53" s="1197">
        <f>+N53</f>
        <v>0.18373493975903615</v>
      </c>
      <c r="P53" s="229"/>
      <c r="Q53" s="1246" t="s">
        <v>204</v>
      </c>
      <c r="R53" s="1249" t="s">
        <v>180</v>
      </c>
      <c r="S53" s="1249" t="s">
        <v>204</v>
      </c>
      <c r="T53" s="1249">
        <f>+'Plan de Accion apoyo transversa'!BI35</f>
        <v>0.18373493975903615</v>
      </c>
      <c r="U53" s="1249">
        <f t="shared" ref="U53" si="40">IF(T53&gt;100%,100%,T53)</f>
        <v>0.18373493975903615</v>
      </c>
      <c r="V53" s="1252">
        <f t="shared" ref="V53" si="41">+U53</f>
        <v>0.18373493975903615</v>
      </c>
      <c r="W53" s="229"/>
      <c r="X53" s="1246" t="s">
        <v>204</v>
      </c>
      <c r="Y53" s="1249" t="s">
        <v>180</v>
      </c>
      <c r="Z53" s="1249" t="s">
        <v>204</v>
      </c>
      <c r="AA53" s="1254">
        <f>+'Plan de Accion apoyo transversa'!BS35</f>
        <v>0.18373493975903615</v>
      </c>
      <c r="AB53" s="1254">
        <f t="shared" ref="AB53" si="42">IF(AA53&gt;100%,100%,AA53)</f>
        <v>0.18373493975903615</v>
      </c>
      <c r="AC53" s="1244">
        <f t="shared" ref="AC53" si="43">+AB53</f>
        <v>0.18373493975903615</v>
      </c>
      <c r="AD53" s="229"/>
      <c r="AE53" s="1246" t="s">
        <v>204</v>
      </c>
      <c r="AF53" s="1249" t="s">
        <v>180</v>
      </c>
      <c r="AG53" s="1249" t="s">
        <v>204</v>
      </c>
      <c r="AH53" s="1249">
        <f>+'Plan de Accion apoyo transversa'!CC35</f>
        <v>0.18373493975903615</v>
      </c>
      <c r="AI53" s="1252">
        <f t="shared" ref="AI53" si="44">IF(AH53&gt;100%,100%,AH53)</f>
        <v>0.18373493975903615</v>
      </c>
      <c r="AJ53" s="246"/>
      <c r="AL53" s="223"/>
      <c r="AM53" s="223"/>
      <c r="AN53" s="220"/>
      <c r="AO53" s="224"/>
      <c r="AP53" s="223"/>
      <c r="AQ53" s="220"/>
      <c r="AR53" s="223"/>
      <c r="AS53" s="223"/>
      <c r="AT53" s="220"/>
      <c r="AU53" s="223"/>
      <c r="AV53" s="223"/>
      <c r="AW53" s="218"/>
      <c r="AX53" s="245"/>
      <c r="AZ53" s="223"/>
      <c r="BA53" s="223"/>
      <c r="BB53" s="220"/>
      <c r="BC53" s="224"/>
      <c r="BD53" s="223"/>
      <c r="BE53" s="220"/>
      <c r="BF53" s="223"/>
      <c r="BG53" s="223"/>
      <c r="BH53" s="220"/>
      <c r="BI53" s="223"/>
      <c r="BJ53" s="223"/>
      <c r="BK53" s="218"/>
      <c r="BL53" s="245"/>
      <c r="BN53" s="223"/>
      <c r="BO53" s="223"/>
      <c r="BP53" s="220"/>
      <c r="BQ53" s="224"/>
      <c r="BR53" s="223"/>
      <c r="BS53" s="220"/>
      <c r="BT53" s="223"/>
      <c r="BU53" s="223"/>
      <c r="BV53" s="220"/>
      <c r="BW53" s="223"/>
      <c r="BX53" s="223"/>
      <c r="BY53" s="218"/>
      <c r="BZ53" s="245"/>
      <c r="CB53" s="223"/>
      <c r="CC53" s="223"/>
      <c r="CD53" s="220"/>
      <c r="CE53" s="224"/>
      <c r="CF53" s="223"/>
      <c r="CG53" s="220"/>
      <c r="CH53" s="223"/>
      <c r="CI53" s="223"/>
      <c r="CJ53" s="220"/>
      <c r="CK53" s="223"/>
      <c r="CL53" s="223"/>
      <c r="CM53" s="218"/>
      <c r="CN53" s="245"/>
    </row>
    <row r="54" spans="2:92" ht="15.75" thickBot="1" x14ac:dyDescent="0.25">
      <c r="B54" s="1345"/>
      <c r="C54" s="1231"/>
      <c r="D54" s="1215"/>
      <c r="E54" s="1212"/>
      <c r="F54" s="1210"/>
      <c r="G54" s="335" t="str">
        <f>+'Plan de Accion apoyo transversa'!X36</f>
        <v>Respuestas a reclamaciones</v>
      </c>
      <c r="H54" s="1219"/>
      <c r="I54" s="220"/>
      <c r="J54" s="1248"/>
      <c r="K54" s="1199"/>
      <c r="L54" s="1199"/>
      <c r="M54" s="1199"/>
      <c r="N54" s="1199"/>
      <c r="O54" s="1199"/>
      <c r="P54" s="229"/>
      <c r="Q54" s="1248"/>
      <c r="R54" s="1251"/>
      <c r="S54" s="1251"/>
      <c r="T54" s="1251"/>
      <c r="U54" s="1251"/>
      <c r="V54" s="1253"/>
      <c r="W54" s="229"/>
      <c r="X54" s="1248"/>
      <c r="Y54" s="1251"/>
      <c r="Z54" s="1251"/>
      <c r="AA54" s="1255"/>
      <c r="AB54" s="1255"/>
      <c r="AC54" s="1245"/>
      <c r="AD54" s="229"/>
      <c r="AE54" s="1248"/>
      <c r="AF54" s="1251"/>
      <c r="AG54" s="1251"/>
      <c r="AH54" s="1251"/>
      <c r="AI54" s="1253"/>
      <c r="AJ54" s="244"/>
      <c r="AL54" s="223"/>
      <c r="AM54" s="223"/>
      <c r="AN54" s="220"/>
      <c r="AO54" s="224"/>
      <c r="AP54" s="223"/>
      <c r="AQ54" s="220"/>
      <c r="AR54" s="223"/>
      <c r="AS54" s="223"/>
      <c r="AT54" s="220"/>
      <c r="AU54" s="223"/>
      <c r="AV54" s="223"/>
      <c r="AW54" s="218"/>
      <c r="AX54" s="245"/>
      <c r="AZ54" s="223"/>
      <c r="BA54" s="223"/>
      <c r="BB54" s="220"/>
      <c r="BC54" s="224"/>
      <c r="BD54" s="223"/>
      <c r="BE54" s="220"/>
      <c r="BF54" s="223"/>
      <c r="BG54" s="223"/>
      <c r="BH54" s="220"/>
      <c r="BI54" s="223"/>
      <c r="BJ54" s="223"/>
      <c r="BK54" s="218"/>
      <c r="BL54" s="245"/>
      <c r="BN54" s="223"/>
      <c r="BO54" s="223"/>
      <c r="BP54" s="220"/>
      <c r="BQ54" s="224"/>
      <c r="BR54" s="223"/>
      <c r="BS54" s="220"/>
      <c r="BT54" s="223"/>
      <c r="BU54" s="223"/>
      <c r="BV54" s="220"/>
      <c r="BW54" s="223"/>
      <c r="BX54" s="223"/>
      <c r="BY54" s="218"/>
      <c r="BZ54" s="245"/>
      <c r="CB54" s="223"/>
      <c r="CC54" s="223"/>
      <c r="CD54" s="220"/>
      <c r="CE54" s="224"/>
      <c r="CF54" s="223"/>
      <c r="CG54" s="220"/>
      <c r="CH54" s="223"/>
      <c r="CI54" s="223"/>
      <c r="CJ54" s="220"/>
      <c r="CK54" s="223"/>
      <c r="CL54" s="223"/>
      <c r="CM54" s="218"/>
      <c r="CN54" s="245"/>
    </row>
    <row r="55" spans="2:92" ht="44.25" customHeight="1" x14ac:dyDescent="0.2">
      <c r="B55" s="1345"/>
      <c r="C55" s="1231"/>
      <c r="D55" s="1215"/>
      <c r="E55" s="1212"/>
      <c r="F55" s="1210"/>
      <c r="G55" s="745" t="str">
        <f>+'Plan de Accion apoyo transversa'!X37</f>
        <v>Actas del Comité de Conciliación debidamente firmadas</v>
      </c>
      <c r="H55" s="1219"/>
      <c r="I55" s="220"/>
      <c r="J55" s="230">
        <f>+'Plan de Accion apoyo transversa'!AW37</f>
        <v>0.5444444444444444</v>
      </c>
      <c r="K55" s="732">
        <f>+'Plan de Accion apoyo transversa'!CF37</f>
        <v>0.5444444444444444</v>
      </c>
      <c r="L55" s="732">
        <f>IF(K55&gt;100%,100%,K55)</f>
        <v>0.5444444444444444</v>
      </c>
      <c r="M55" s="732">
        <f>+'Plan de Accion apoyo transversa'!AY37</f>
        <v>0.1361111111111111</v>
      </c>
      <c r="N55" s="732">
        <f>IF(M55&gt;100%,100%,M55)</f>
        <v>0.1361111111111111</v>
      </c>
      <c r="O55" s="732">
        <f>+N55</f>
        <v>0.1361111111111111</v>
      </c>
      <c r="P55" s="229"/>
      <c r="Q55" s="230">
        <f>+'Plan de Accion apoyo transversa'!BG37</f>
        <v>0</v>
      </c>
      <c r="R55" s="266" t="s">
        <v>180</v>
      </c>
      <c r="S55" s="228" t="s">
        <v>204</v>
      </c>
      <c r="T55" s="732">
        <f>+'Plan de Accion apoyo transversa'!BI37</f>
        <v>0.1361111111111111</v>
      </c>
      <c r="U55" s="732">
        <f t="shared" ref="U55" si="45">IF(T55&gt;100%,100%,T55)</f>
        <v>0.1361111111111111</v>
      </c>
      <c r="V55" s="227">
        <f>+U55</f>
        <v>0.1361111111111111</v>
      </c>
      <c r="W55" s="229"/>
      <c r="X55" s="230">
        <f>+'Plan de Accion apoyo transversa'!BQ37</f>
        <v>0</v>
      </c>
      <c r="Y55" s="266" t="s">
        <v>180</v>
      </c>
      <c r="Z55" s="228" t="s">
        <v>204</v>
      </c>
      <c r="AA55" s="233">
        <f>+'Plan de Accion apoyo transversa'!BS37</f>
        <v>0.1361111111111111</v>
      </c>
      <c r="AB55" s="233">
        <f t="shared" ref="AB55" si="46">IF(AA55&gt;100%,100%,AA55)</f>
        <v>0.1361111111111111</v>
      </c>
      <c r="AC55" s="734">
        <f t="shared" ref="AC55" si="47">+AB55</f>
        <v>0.1361111111111111</v>
      </c>
      <c r="AD55" s="229"/>
      <c r="AE55" s="230">
        <f>+'Plan de Accion apoyo transversa'!CA37</f>
        <v>0</v>
      </c>
      <c r="AF55" s="266" t="s">
        <v>180</v>
      </c>
      <c r="AG55" s="228" t="s">
        <v>204</v>
      </c>
      <c r="AH55" s="266">
        <f>+'Plan de Accion apoyo transversa'!CC37</f>
        <v>0.1361111111111111</v>
      </c>
      <c r="AI55" s="227">
        <f t="shared" ref="AI55" si="48">IF(AH55&gt;100%,100%,AH55)</f>
        <v>0.1361111111111111</v>
      </c>
      <c r="AJ55" s="246"/>
      <c r="AL55" s="738"/>
      <c r="AM55" s="738"/>
      <c r="AN55" s="220"/>
      <c r="AO55" s="739"/>
      <c r="AP55" s="738"/>
      <c r="AQ55" s="220"/>
      <c r="AR55" s="738"/>
      <c r="AS55" s="738"/>
      <c r="AT55" s="220"/>
      <c r="AU55" s="738"/>
      <c r="AV55" s="738"/>
      <c r="AW55" s="218"/>
      <c r="AX55" s="245"/>
      <c r="AZ55" s="738"/>
      <c r="BA55" s="738"/>
      <c r="BB55" s="220"/>
      <c r="BC55" s="739"/>
      <c r="BD55" s="738"/>
      <c r="BE55" s="220"/>
      <c r="BF55" s="738"/>
      <c r="BG55" s="738"/>
      <c r="BH55" s="220"/>
      <c r="BI55" s="738"/>
      <c r="BJ55" s="738"/>
      <c r="BK55" s="218"/>
      <c r="BL55" s="245"/>
      <c r="BN55" s="738"/>
      <c r="BO55" s="738"/>
      <c r="BP55" s="220"/>
      <c r="BQ55" s="739"/>
      <c r="BR55" s="738"/>
      <c r="BS55" s="220"/>
      <c r="BT55" s="738"/>
      <c r="BU55" s="738"/>
      <c r="BV55" s="220"/>
      <c r="BW55" s="738"/>
      <c r="BX55" s="738"/>
      <c r="BY55" s="218"/>
      <c r="BZ55" s="245"/>
      <c r="CB55" s="738"/>
      <c r="CC55" s="738"/>
      <c r="CD55" s="220"/>
      <c r="CE55" s="739"/>
      <c r="CF55" s="738"/>
      <c r="CG55" s="220"/>
      <c r="CH55" s="738"/>
      <c r="CI55" s="738"/>
      <c r="CJ55" s="220"/>
      <c r="CK55" s="738"/>
      <c r="CL55" s="738"/>
      <c r="CM55" s="218"/>
      <c r="CN55" s="245"/>
    </row>
    <row r="56" spans="2:92" ht="15" x14ac:dyDescent="0.2">
      <c r="B56" s="1345"/>
      <c r="C56" s="1231"/>
      <c r="D56" s="1215"/>
      <c r="E56" s="1212"/>
      <c r="F56" s="1210"/>
      <c r="G56" s="335" t="str">
        <f>+'Plan de Accion apoyo transversa'!X39</f>
        <v xml:space="preserve">Reparto </v>
      </c>
      <c r="H56" s="1219"/>
      <c r="I56" s="220"/>
      <c r="J56" s="1246">
        <f>+'Plan de Accion apoyo transversa'!AW39</f>
        <v>0.66666651903143614</v>
      </c>
      <c r="K56" s="1197">
        <f>+'Plan de Accion apoyo transversa'!CF39</f>
        <v>0.66666651903143614</v>
      </c>
      <c r="L56" s="1197">
        <f>IF(K56&gt;100%,100%,K56)</f>
        <v>0.66666651903143614</v>
      </c>
      <c r="M56" s="1197">
        <f>+'Plan de Accion apoyo transversa'!AY39</f>
        <v>0.16666662975785904</v>
      </c>
      <c r="N56" s="1197">
        <f>IF(M56&gt;100%,100%,M56)</f>
        <v>0.16666662975785904</v>
      </c>
      <c r="O56" s="1197">
        <f>+N56</f>
        <v>0.16666662975785904</v>
      </c>
      <c r="P56" s="229"/>
      <c r="Q56" s="1246">
        <f>+'Plan de Accion apoyo transversa'!BG39</f>
        <v>1.090909050644937</v>
      </c>
      <c r="R56" s="1249">
        <f>+'Plan de Accion apoyo transversa'!CH39</f>
        <v>1.090909050644937</v>
      </c>
      <c r="S56" s="1249">
        <f>IF(R56&gt;100%,100%,R56)</f>
        <v>1</v>
      </c>
      <c r="T56" s="1249">
        <f>+'Plan de Accion apoyo transversa'!BI39</f>
        <v>0.43939389241909332</v>
      </c>
      <c r="U56" s="1249">
        <f t="shared" si="34"/>
        <v>0.43939389241909332</v>
      </c>
      <c r="V56" s="1252">
        <f>+U56</f>
        <v>0.43939389241909332</v>
      </c>
      <c r="W56" s="229">
        <v>1</v>
      </c>
      <c r="X56" s="1246">
        <f>+'Plan de Accion apoyo transversa'!BQ39</f>
        <v>0</v>
      </c>
      <c r="Y56" s="1249">
        <f>+'Plan de Accion apoyo transversa'!CJ39</f>
        <v>0</v>
      </c>
      <c r="Z56" s="1249">
        <f>IF(Y56&gt;100%,100%,Y56)</f>
        <v>0</v>
      </c>
      <c r="AA56" s="1254">
        <f>+'Plan de Accion apoyo transversa'!BS39</f>
        <v>0.43939389241909332</v>
      </c>
      <c r="AB56" s="1254">
        <f t="shared" si="35"/>
        <v>0.43939389241909332</v>
      </c>
      <c r="AC56" s="1244">
        <f>+AB56</f>
        <v>0.43939389241909332</v>
      </c>
      <c r="AD56" s="229"/>
      <c r="AE56" s="1246">
        <f>+'Plan de Accion apoyo transversa'!CA39</f>
        <v>0</v>
      </c>
      <c r="AF56" s="1249">
        <f>+'Plan de Accion apoyo transversa'!CL39</f>
        <v>0</v>
      </c>
      <c r="AG56" s="1249">
        <f t="shared" si="39"/>
        <v>0</v>
      </c>
      <c r="AH56" s="1249">
        <f>+'Plan de Accion apoyo transversa'!CC39</f>
        <v>0.43939389241909332</v>
      </c>
      <c r="AI56" s="1252">
        <f t="shared" si="36"/>
        <v>0.43939389241909332</v>
      </c>
      <c r="AJ56" s="246"/>
      <c r="AL56" s="223"/>
      <c r="AM56" s="223"/>
      <c r="AN56" s="220"/>
      <c r="AO56" s="224"/>
      <c r="AP56" s="223"/>
      <c r="AQ56" s="220"/>
      <c r="AR56" s="223"/>
      <c r="AS56" s="223"/>
      <c r="AT56" s="220"/>
      <c r="AU56" s="223"/>
      <c r="AV56" s="223"/>
      <c r="AW56" s="218"/>
      <c r="AX56" s="245"/>
      <c r="AZ56" s="223"/>
      <c r="BA56" s="223"/>
      <c r="BB56" s="220"/>
      <c r="BC56" s="224"/>
      <c r="BD56" s="223"/>
      <c r="BE56" s="220"/>
      <c r="BF56" s="223"/>
      <c r="BG56" s="223"/>
      <c r="BH56" s="220"/>
      <c r="BI56" s="223"/>
      <c r="BJ56" s="223"/>
      <c r="BK56" s="218"/>
      <c r="BL56" s="245"/>
      <c r="BN56" s="223"/>
      <c r="BO56" s="223"/>
      <c r="BP56" s="220"/>
      <c r="BQ56" s="224"/>
      <c r="BR56" s="223"/>
      <c r="BS56" s="220"/>
      <c r="BT56" s="223"/>
      <c r="BU56" s="223"/>
      <c r="BV56" s="220"/>
      <c r="BW56" s="223"/>
      <c r="BX56" s="223"/>
      <c r="BY56" s="218"/>
      <c r="BZ56" s="245"/>
      <c r="CB56" s="223"/>
      <c r="CC56" s="223"/>
      <c r="CD56" s="220"/>
      <c r="CE56" s="224"/>
      <c r="CF56" s="223"/>
      <c r="CG56" s="220"/>
      <c r="CH56" s="223"/>
      <c r="CI56" s="223"/>
      <c r="CJ56" s="220"/>
      <c r="CK56" s="223"/>
      <c r="CL56" s="223"/>
      <c r="CM56" s="218"/>
      <c r="CN56" s="245"/>
    </row>
    <row r="57" spans="2:92" ht="15.75" thickBot="1" x14ac:dyDescent="0.25">
      <c r="B57" s="1345"/>
      <c r="C57" s="1231"/>
      <c r="D57" s="1215"/>
      <c r="E57" s="1212"/>
      <c r="F57" s="1210"/>
      <c r="G57" s="335" t="str">
        <f>+'Plan de Accion apoyo transversa'!X40</f>
        <v>Poderes</v>
      </c>
      <c r="H57" s="1219"/>
      <c r="I57" s="220"/>
      <c r="J57" s="1248"/>
      <c r="K57" s="1199"/>
      <c r="L57" s="1199"/>
      <c r="M57" s="1199"/>
      <c r="N57" s="1199"/>
      <c r="O57" s="1199"/>
      <c r="P57" s="229"/>
      <c r="Q57" s="1248"/>
      <c r="R57" s="1251"/>
      <c r="S57" s="1251"/>
      <c r="T57" s="1251"/>
      <c r="U57" s="1251"/>
      <c r="V57" s="1253"/>
      <c r="W57" s="229"/>
      <c r="X57" s="1248"/>
      <c r="Y57" s="1251"/>
      <c r="Z57" s="1251"/>
      <c r="AA57" s="1255"/>
      <c r="AB57" s="1255"/>
      <c r="AC57" s="1245"/>
      <c r="AD57" s="229"/>
      <c r="AE57" s="1248"/>
      <c r="AF57" s="1251"/>
      <c r="AG57" s="1251"/>
      <c r="AH57" s="1251"/>
      <c r="AI57" s="1253"/>
      <c r="AJ57" s="244"/>
      <c r="AL57" s="223"/>
      <c r="AM57" s="223"/>
      <c r="AN57" s="220"/>
      <c r="AO57" s="224"/>
      <c r="AP57" s="223"/>
      <c r="AQ57" s="220"/>
      <c r="AR57" s="223"/>
      <c r="AS57" s="223"/>
      <c r="AT57" s="220"/>
      <c r="AU57" s="223"/>
      <c r="AV57" s="223"/>
      <c r="AW57" s="218"/>
      <c r="AX57" s="245"/>
      <c r="AZ57" s="223"/>
      <c r="BA57" s="223"/>
      <c r="BB57" s="220"/>
      <c r="BC57" s="224"/>
      <c r="BD57" s="223"/>
      <c r="BE57" s="220"/>
      <c r="BF57" s="223"/>
      <c r="BG57" s="223"/>
      <c r="BH57" s="220"/>
      <c r="BI57" s="223"/>
      <c r="BJ57" s="223"/>
      <c r="BK57" s="218"/>
      <c r="BL57" s="245"/>
      <c r="BN57" s="223"/>
      <c r="BO57" s="223"/>
      <c r="BP57" s="220"/>
      <c r="BQ57" s="224"/>
      <c r="BR57" s="223"/>
      <c r="BS57" s="220"/>
      <c r="BT57" s="223"/>
      <c r="BU57" s="223"/>
      <c r="BV57" s="220"/>
      <c r="BW57" s="223"/>
      <c r="BX57" s="223"/>
      <c r="BY57" s="218"/>
      <c r="BZ57" s="245"/>
      <c r="CB57" s="223"/>
      <c r="CC57" s="223"/>
      <c r="CD57" s="220"/>
      <c r="CE57" s="224"/>
      <c r="CF57" s="223"/>
      <c r="CG57" s="220"/>
      <c r="CH57" s="223"/>
      <c r="CI57" s="223"/>
      <c r="CJ57" s="220"/>
      <c r="CK57" s="223"/>
      <c r="CL57" s="223"/>
      <c r="CM57" s="218"/>
      <c r="CN57" s="245"/>
    </row>
    <row r="58" spans="2:92" ht="42.75" x14ac:dyDescent="0.2">
      <c r="B58" s="1345"/>
      <c r="C58" s="1232"/>
      <c r="D58" s="1216"/>
      <c r="E58" s="1213"/>
      <c r="F58" s="1210"/>
      <c r="G58" s="335" t="str">
        <f>+'Plan de Accion apoyo transversa'!X41</f>
        <v xml:space="preserve">Atender las solicitudes de informes derivadas de acciones constitucionales </v>
      </c>
      <c r="H58" s="1219"/>
      <c r="I58" s="220"/>
      <c r="J58" s="230">
        <f>+'Plan de Accion apoyo transversa'!AW41</f>
        <v>0.53506912734267342</v>
      </c>
      <c r="K58" s="503">
        <f>+'Plan de Accion apoyo transversa'!CF41</f>
        <v>0.53506912734267342</v>
      </c>
      <c r="L58" s="503">
        <f>IF(K58&gt;100%,100%,K58)</f>
        <v>0.53506912734267342</v>
      </c>
      <c r="M58" s="503">
        <f>+'Plan de Accion apoyo transversa'!AY41</f>
        <v>0.13376728183566836</v>
      </c>
      <c r="N58" s="503">
        <f>IF(M58&gt;100%,100%,M58)</f>
        <v>0.13376728183566836</v>
      </c>
      <c r="O58" s="503">
        <f>+N58</f>
        <v>0.13376728183566836</v>
      </c>
      <c r="P58" s="229"/>
      <c r="Q58" s="230">
        <f>+'Plan de Accion apoyo transversa'!BG41</f>
        <v>0.77922972435691573</v>
      </c>
      <c r="R58" s="266">
        <f>+'Plan de Accion apoyo transversa'!CH41</f>
        <v>0.77922972435691573</v>
      </c>
      <c r="S58" s="228">
        <f>IF(R58&gt;100%,100%,R58)</f>
        <v>0.77922972435691573</v>
      </c>
      <c r="T58" s="324">
        <f>+'Plan de Accion apoyo transversa'!BI41</f>
        <v>0.32857471292489732</v>
      </c>
      <c r="U58" s="324">
        <f t="shared" si="34"/>
        <v>0.32857471292489732</v>
      </c>
      <c r="V58" s="227">
        <f>+U58</f>
        <v>0.32857471292489732</v>
      </c>
      <c r="W58" s="229"/>
      <c r="X58" s="230">
        <f>+'Plan de Accion apoyo transversa'!BQ41</f>
        <v>0</v>
      </c>
      <c r="Y58" s="266">
        <f>+'Plan de Accion apoyo transversa'!CJ41</f>
        <v>0</v>
      </c>
      <c r="Z58" s="228">
        <f>IF(Y58&gt;100%,100%,Y58)</f>
        <v>0</v>
      </c>
      <c r="AA58" s="233">
        <f>+'Plan de Accion apoyo transversa'!BS41</f>
        <v>0.32857471292489732</v>
      </c>
      <c r="AB58" s="233">
        <f t="shared" si="35"/>
        <v>0.32857471292489732</v>
      </c>
      <c r="AC58" s="322">
        <f>+AB58</f>
        <v>0.32857471292489732</v>
      </c>
      <c r="AD58" s="229"/>
      <c r="AE58" s="230">
        <f>+'Plan de Accion apoyo transversa'!CA41</f>
        <v>0</v>
      </c>
      <c r="AF58" s="266">
        <f>+'Plan de Accion apoyo transversa'!CL41</f>
        <v>0</v>
      </c>
      <c r="AG58" s="228">
        <f t="shared" si="39"/>
        <v>0</v>
      </c>
      <c r="AH58" s="266">
        <f>+'Plan de Accion apoyo transversa'!CC41</f>
        <v>0.32857471292489732</v>
      </c>
      <c r="AI58" s="227">
        <f t="shared" si="36"/>
        <v>0.32857471292489732</v>
      </c>
      <c r="AJ58" s="248"/>
      <c r="AL58" s="223"/>
      <c r="AM58" s="223"/>
      <c r="AN58" s="220"/>
      <c r="AO58" s="224"/>
      <c r="AP58" s="223"/>
      <c r="AQ58" s="220"/>
      <c r="AR58" s="223"/>
      <c r="AS58" s="223"/>
      <c r="AT58" s="220"/>
      <c r="AU58" s="223"/>
      <c r="AV58" s="223"/>
      <c r="AW58" s="218"/>
      <c r="AX58" s="245"/>
      <c r="AZ58" s="223"/>
      <c r="BA58" s="223"/>
      <c r="BB58" s="220"/>
      <c r="BC58" s="224"/>
      <c r="BD58" s="223"/>
      <c r="BE58" s="220"/>
      <c r="BF58" s="223"/>
      <c r="BG58" s="223"/>
      <c r="BH58" s="220"/>
      <c r="BI58" s="223"/>
      <c r="BJ58" s="223"/>
      <c r="BK58" s="218"/>
      <c r="BL58" s="245"/>
      <c r="BN58" s="223"/>
      <c r="BO58" s="223"/>
      <c r="BP58" s="220"/>
      <c r="BQ58" s="224"/>
      <c r="BR58" s="223"/>
      <c r="BS58" s="220"/>
      <c r="BT58" s="223"/>
      <c r="BU58" s="223"/>
      <c r="BV58" s="220"/>
      <c r="BW58" s="223"/>
      <c r="BX58" s="223"/>
      <c r="BY58" s="218"/>
      <c r="BZ58" s="245"/>
      <c r="CB58" s="223"/>
      <c r="CC58" s="223"/>
      <c r="CD58" s="220"/>
      <c r="CE58" s="224"/>
      <c r="CF58" s="223"/>
      <c r="CG58" s="220"/>
      <c r="CH58" s="223"/>
      <c r="CI58" s="223"/>
      <c r="CJ58" s="220"/>
      <c r="CK58" s="223"/>
      <c r="CL58" s="223"/>
      <c r="CM58" s="218"/>
      <c r="CN58" s="245"/>
    </row>
    <row r="59" spans="2:92" ht="42.75" customHeight="1" x14ac:dyDescent="0.2">
      <c r="B59" s="1345"/>
      <c r="C59" s="1230" t="s">
        <v>94</v>
      </c>
      <c r="D59" s="1264" t="s">
        <v>204</v>
      </c>
      <c r="E59" s="1211" t="s">
        <v>1</v>
      </c>
      <c r="F59" s="1202" t="s">
        <v>330</v>
      </c>
      <c r="G59" s="335" t="str">
        <f>+'Plan de Accion apoyo transversa'!X9</f>
        <v>Anexos técnicos para el diseño, desarrollo e implementación del sitio web de la ADRES.</v>
      </c>
      <c r="H59" s="1219"/>
      <c r="J59" s="230" t="e">
        <f>+'Plan de Accion apoyo transversa'!AW9</f>
        <v>#DIV/0!</v>
      </c>
      <c r="K59" s="503" t="str">
        <f>+'Plan de Accion apoyo transversa'!CF9</f>
        <v>No Prog ni Ejec</v>
      </c>
      <c r="L59" s="503" t="s">
        <v>204</v>
      </c>
      <c r="M59" s="503">
        <f>+'Plan de Accion apoyo transversa'!AY9</f>
        <v>0</v>
      </c>
      <c r="N59" s="503">
        <f>IF(M59&gt;100%,100%,M59)</f>
        <v>0</v>
      </c>
      <c r="O59" s="503" t="s">
        <v>204</v>
      </c>
      <c r="P59" s="229"/>
      <c r="Q59" s="230">
        <f>+'Plan de Accion apoyo transversa'!BG9</f>
        <v>0</v>
      </c>
      <c r="R59" s="266">
        <f>+'Plan de Accion apoyo transversa'!CH9</f>
        <v>0</v>
      </c>
      <c r="S59" s="228">
        <f>IF(R59&gt;100%,100%,R59)</f>
        <v>0</v>
      </c>
      <c r="T59" s="324">
        <f>+'Plan de Accion apoyo transversa'!BI9</f>
        <v>0</v>
      </c>
      <c r="U59" s="324">
        <f>IF(T59&gt;100%,100%,T59)</f>
        <v>0</v>
      </c>
      <c r="V59" s="227">
        <f>+U59</f>
        <v>0</v>
      </c>
      <c r="W59" s="229"/>
      <c r="X59" s="230">
        <f>+'Plan de Accion apoyo transversa'!BQ9</f>
        <v>0</v>
      </c>
      <c r="Y59" s="266">
        <f>+'Plan de Accion apoyo transversa'!CJ9</f>
        <v>0</v>
      </c>
      <c r="Z59" s="228">
        <f>IF(Y59&gt;100%,100%,Y59)</f>
        <v>0</v>
      </c>
      <c r="AA59" s="233">
        <f>+'Plan de Accion apoyo transversa'!BS9</f>
        <v>0</v>
      </c>
      <c r="AB59" s="233">
        <f>IF(AA59&gt;100%,100%,AA59)</f>
        <v>0</v>
      </c>
      <c r="AC59" s="322">
        <f>+AB59</f>
        <v>0</v>
      </c>
      <c r="AD59" s="229"/>
      <c r="AE59" s="230">
        <f>+'Plan de Accion apoyo transversa'!CA9</f>
        <v>0</v>
      </c>
      <c r="AF59" s="266">
        <f>+'Plan de Accion apoyo transversa'!CL9</f>
        <v>0</v>
      </c>
      <c r="AG59" s="228">
        <f>IF(AF59&gt;100%,100%,AF59)</f>
        <v>0</v>
      </c>
      <c r="AH59" s="266">
        <f>+'Plan de Accion apoyo transversa'!CC9</f>
        <v>0</v>
      </c>
      <c r="AI59" s="227">
        <f>IF(AH59&gt;100%,100%,AH59)</f>
        <v>0</v>
      </c>
      <c r="AJ59" s="246"/>
      <c r="AL59" s="223"/>
      <c r="AM59" s="223"/>
      <c r="AN59" s="220"/>
      <c r="AO59" s="224"/>
      <c r="AP59" s="223"/>
      <c r="AQ59" s="220"/>
      <c r="AR59" s="223"/>
      <c r="AS59" s="223"/>
      <c r="AT59" s="220"/>
      <c r="AU59" s="223"/>
      <c r="AV59" s="223"/>
      <c r="AW59" s="218"/>
      <c r="AX59" s="245"/>
      <c r="AZ59" s="223"/>
      <c r="BA59" s="223"/>
      <c r="BB59" s="220"/>
      <c r="BC59" s="224"/>
      <c r="BD59" s="223"/>
      <c r="BE59" s="220"/>
      <c r="BF59" s="223"/>
      <c r="BG59" s="223"/>
      <c r="BH59" s="220"/>
      <c r="BI59" s="223"/>
      <c r="BJ59" s="223"/>
      <c r="BK59" s="218"/>
      <c r="BL59" s="245"/>
      <c r="BN59" s="223"/>
      <c r="BO59" s="223"/>
      <c r="BP59" s="220"/>
      <c r="BQ59" s="224"/>
      <c r="BR59" s="223"/>
      <c r="BS59" s="220"/>
      <c r="BT59" s="223"/>
      <c r="BU59" s="223"/>
      <c r="BV59" s="220"/>
      <c r="BW59" s="223"/>
      <c r="BX59" s="223"/>
      <c r="BY59" s="218"/>
      <c r="BZ59" s="245"/>
      <c r="CB59" s="223"/>
      <c r="CC59" s="223"/>
      <c r="CD59" s="220"/>
      <c r="CE59" s="224"/>
      <c r="CF59" s="223"/>
      <c r="CG59" s="220"/>
      <c r="CH59" s="223"/>
      <c r="CI59" s="223"/>
      <c r="CJ59" s="220"/>
      <c r="CK59" s="223"/>
      <c r="CL59" s="223"/>
      <c r="CM59" s="218"/>
      <c r="CN59" s="245"/>
    </row>
    <row r="60" spans="2:92" ht="72" thickBot="1" x14ac:dyDescent="0.25">
      <c r="B60" s="1345"/>
      <c r="C60" s="1231"/>
      <c r="D60" s="1265"/>
      <c r="E60" s="1212"/>
      <c r="F60" s="1210"/>
      <c r="G60" s="335" t="str">
        <f>+'Plan de Accion apoyo transversa'!X10</f>
        <v>Informe mensual de monitoreo de la actividad en redes sociales y medios de comunicación asociados a la ADRES.</v>
      </c>
      <c r="H60" s="1219"/>
      <c r="J60" s="1246">
        <f>+'Plan de Accion apoyo transversa'!AW10</f>
        <v>0.69999994733365734</v>
      </c>
      <c r="K60" s="1197">
        <f>+'Plan de Accion apoyo transversa'!CF10</f>
        <v>0.69999994733365734</v>
      </c>
      <c r="L60" s="1197">
        <f>IF(K60&gt;100%,100%,K60)</f>
        <v>0.69999994733365734</v>
      </c>
      <c r="M60" s="1197">
        <f>+'Plan de Accion apoyo transversa'!AY10</f>
        <v>0.17499998683341433</v>
      </c>
      <c r="N60" s="1197">
        <f>IF(M60&gt;100%,100%,M60)</f>
        <v>0.17499998683341433</v>
      </c>
      <c r="O60" s="1197">
        <f>+N60</f>
        <v>0.17499998683341433</v>
      </c>
      <c r="P60" s="229"/>
      <c r="Q60" s="1246">
        <f>+'Plan de Accion apoyo transversa'!BG10</f>
        <v>1</v>
      </c>
      <c r="R60" s="1249">
        <f>+'Plan de Accion apoyo transversa'!CH10</f>
        <v>1</v>
      </c>
      <c r="S60" s="1249">
        <f>IF(R60&gt;100%,100%,R60)</f>
        <v>1</v>
      </c>
      <c r="T60" s="1249">
        <f>+'Plan de Accion apoyo transversa'!BI10</f>
        <v>0.42499998683341433</v>
      </c>
      <c r="U60" s="1249">
        <f>IF(T60&gt;100%,100%,T60)</f>
        <v>0.42499998683341433</v>
      </c>
      <c r="V60" s="1252">
        <f>+U60</f>
        <v>0.42499998683341433</v>
      </c>
      <c r="W60" s="229"/>
      <c r="X60" s="1246">
        <f>+'Plan de Accion apoyo transversa'!BQ10</f>
        <v>0</v>
      </c>
      <c r="Y60" s="1249">
        <f>+'Plan de Accion apoyo transversa'!CJ10</f>
        <v>0</v>
      </c>
      <c r="Z60" s="1249">
        <f>IF(Y60&gt;100%,100%,Y60)</f>
        <v>0</v>
      </c>
      <c r="AA60" s="1254">
        <f>+'Plan de Accion apoyo transversa'!BS10</f>
        <v>0.42499998683341433</v>
      </c>
      <c r="AB60" s="1254">
        <f>IF(AA60&gt;100%,100%,AA60)</f>
        <v>0.42499998683341433</v>
      </c>
      <c r="AC60" s="1244">
        <f>+AB60</f>
        <v>0.42499998683341433</v>
      </c>
      <c r="AD60" s="229"/>
      <c r="AE60" s="1246">
        <f>+'Plan de Accion apoyo transversa'!CA10</f>
        <v>0</v>
      </c>
      <c r="AF60" s="1249">
        <f>+'Plan de Accion apoyo transversa'!CL10</f>
        <v>0</v>
      </c>
      <c r="AG60" s="1249">
        <f>IF(AF60&gt;100%,100%,AF60)</f>
        <v>0</v>
      </c>
      <c r="AH60" s="1249">
        <f>+'Plan de Accion apoyo transversa'!CC10</f>
        <v>0.42499998683341433</v>
      </c>
      <c r="AI60" s="1252">
        <f>IF(AH60&gt;100%,100%,AH60)</f>
        <v>0.42499998683341433</v>
      </c>
      <c r="AJ60" s="244"/>
      <c r="AL60" s="223"/>
      <c r="AM60" s="223"/>
      <c r="AN60" s="220"/>
      <c r="AO60" s="224"/>
      <c r="AP60" s="223"/>
      <c r="AQ60" s="220"/>
      <c r="AR60" s="223"/>
      <c r="AS60" s="223"/>
      <c r="AT60" s="220"/>
      <c r="AU60" s="223"/>
      <c r="AV60" s="223"/>
      <c r="AW60" s="218"/>
      <c r="AX60" s="245"/>
      <c r="AZ60" s="223"/>
      <c r="BA60" s="223"/>
      <c r="BB60" s="220"/>
      <c r="BC60" s="224"/>
      <c r="BD60" s="223"/>
      <c r="BE60" s="220"/>
      <c r="BF60" s="223"/>
      <c r="BG60" s="223"/>
      <c r="BH60" s="220"/>
      <c r="BI60" s="223"/>
      <c r="BJ60" s="223"/>
      <c r="BK60" s="218"/>
      <c r="BL60" s="245"/>
      <c r="BN60" s="223"/>
      <c r="BO60" s="223"/>
      <c r="BP60" s="220"/>
      <c r="BQ60" s="224"/>
      <c r="BR60" s="223"/>
      <c r="BS60" s="220"/>
      <c r="BT60" s="223"/>
      <c r="BU60" s="223"/>
      <c r="BV60" s="220"/>
      <c r="BW60" s="223"/>
      <c r="BX60" s="223"/>
      <c r="BY60" s="218"/>
      <c r="BZ60" s="245"/>
      <c r="CB60" s="223"/>
      <c r="CC60" s="223"/>
      <c r="CD60" s="220"/>
      <c r="CE60" s="224"/>
      <c r="CF60" s="223"/>
      <c r="CG60" s="220"/>
      <c r="CH60" s="223"/>
      <c r="CI60" s="223"/>
      <c r="CJ60" s="220"/>
      <c r="CK60" s="223"/>
      <c r="CL60" s="223"/>
      <c r="CM60" s="218"/>
      <c r="CN60" s="245"/>
    </row>
    <row r="61" spans="2:92" ht="15.75" thickBot="1" x14ac:dyDescent="0.25">
      <c r="B61" s="1345"/>
      <c r="C61" s="1231"/>
      <c r="D61" s="1265"/>
      <c r="E61" s="1212"/>
      <c r="F61" s="1210"/>
      <c r="G61" s="1211" t="str">
        <f>+'Plan de Accion apoyo transversa'!X11</f>
        <v>Correos electrónicos con el monitoreo de noticias</v>
      </c>
      <c r="H61" s="1219"/>
      <c r="J61" s="1247"/>
      <c r="K61" s="1198"/>
      <c r="L61" s="1198"/>
      <c r="M61" s="1198"/>
      <c r="N61" s="1198"/>
      <c r="O61" s="1198"/>
      <c r="P61" s="229"/>
      <c r="Q61" s="1247"/>
      <c r="R61" s="1250"/>
      <c r="S61" s="1250"/>
      <c r="T61" s="1250"/>
      <c r="U61" s="1250"/>
      <c r="V61" s="1281"/>
      <c r="W61" s="229"/>
      <c r="X61" s="1247"/>
      <c r="Y61" s="1250"/>
      <c r="Z61" s="1250"/>
      <c r="AA61" s="1296"/>
      <c r="AB61" s="1296"/>
      <c r="AC61" s="1297"/>
      <c r="AD61" s="229"/>
      <c r="AE61" s="1247"/>
      <c r="AF61" s="1250"/>
      <c r="AG61" s="1250"/>
      <c r="AH61" s="1250"/>
      <c r="AI61" s="1281"/>
      <c r="AJ61" s="244"/>
      <c r="AL61" s="224"/>
      <c r="AM61" s="251"/>
      <c r="AN61" s="220"/>
      <c r="AO61" s="224"/>
      <c r="AP61" s="251"/>
      <c r="AQ61" s="220"/>
      <c r="AR61" s="224"/>
      <c r="AS61" s="251"/>
      <c r="AT61" s="220"/>
      <c r="AU61" s="224"/>
      <c r="AV61" s="251"/>
      <c r="AW61" s="218"/>
      <c r="AX61" s="245"/>
      <c r="AZ61" s="224"/>
      <c r="BA61" s="251"/>
      <c r="BB61" s="220"/>
      <c r="BC61" s="224"/>
      <c r="BD61" s="251"/>
      <c r="BE61" s="220"/>
      <c r="BF61" s="224"/>
      <c r="BG61" s="251"/>
      <c r="BH61" s="220"/>
      <c r="BI61" s="224"/>
      <c r="BJ61" s="251"/>
      <c r="BK61" s="218"/>
      <c r="BL61" s="245"/>
      <c r="BN61" s="224"/>
      <c r="BO61" s="251"/>
      <c r="BP61" s="220"/>
      <c r="BQ61" s="224"/>
      <c r="BR61" s="251"/>
      <c r="BS61" s="220"/>
      <c r="BT61" s="224"/>
      <c r="BU61" s="251"/>
      <c r="BV61" s="220"/>
      <c r="BW61" s="224"/>
      <c r="BX61" s="251"/>
      <c r="BY61" s="218"/>
      <c r="BZ61" s="245"/>
      <c r="CB61" s="224"/>
      <c r="CC61" s="251"/>
      <c r="CD61" s="220"/>
      <c r="CE61" s="224"/>
      <c r="CF61" s="251"/>
      <c r="CG61" s="220"/>
      <c r="CH61" s="224"/>
      <c r="CI61" s="251"/>
      <c r="CJ61" s="220"/>
      <c r="CK61" s="224"/>
      <c r="CL61" s="251"/>
      <c r="CM61" s="218"/>
      <c r="CN61" s="245"/>
    </row>
    <row r="62" spans="2:92" ht="15.75" thickBot="1" x14ac:dyDescent="0.25">
      <c r="B62" s="1345"/>
      <c r="C62" s="1231"/>
      <c r="D62" s="1265"/>
      <c r="E62" s="1212"/>
      <c r="F62" s="1210"/>
      <c r="G62" s="1212"/>
      <c r="H62" s="1219"/>
      <c r="J62" s="1247"/>
      <c r="K62" s="1198"/>
      <c r="L62" s="1198"/>
      <c r="M62" s="1198"/>
      <c r="N62" s="1198"/>
      <c r="O62" s="1198"/>
      <c r="P62" s="229"/>
      <c r="Q62" s="1247"/>
      <c r="R62" s="1250"/>
      <c r="S62" s="1250"/>
      <c r="T62" s="1250"/>
      <c r="U62" s="1250"/>
      <c r="V62" s="1281"/>
      <c r="W62" s="229"/>
      <c r="X62" s="1247"/>
      <c r="Y62" s="1250"/>
      <c r="Z62" s="1250"/>
      <c r="AA62" s="1296"/>
      <c r="AB62" s="1296"/>
      <c r="AC62" s="1297"/>
      <c r="AD62" s="229"/>
      <c r="AE62" s="1247"/>
      <c r="AF62" s="1250"/>
      <c r="AG62" s="1250"/>
      <c r="AH62" s="1250"/>
      <c r="AI62" s="1281"/>
      <c r="AJ62" s="244"/>
      <c r="AL62" s="224"/>
      <c r="AM62" s="251"/>
      <c r="AN62" s="220"/>
      <c r="AO62" s="224"/>
      <c r="AP62" s="251"/>
      <c r="AQ62" s="220"/>
      <c r="AR62" s="224"/>
      <c r="AS62" s="251"/>
      <c r="AT62" s="220"/>
      <c r="AU62" s="224"/>
      <c r="AV62" s="251"/>
      <c r="AW62" s="218"/>
      <c r="AX62" s="245"/>
      <c r="AZ62" s="224"/>
      <c r="BA62" s="251"/>
      <c r="BB62" s="220"/>
      <c r="BC62" s="224"/>
      <c r="BD62" s="251"/>
      <c r="BE62" s="220"/>
      <c r="BF62" s="224"/>
      <c r="BG62" s="251"/>
      <c r="BH62" s="220"/>
      <c r="BI62" s="224"/>
      <c r="BJ62" s="251"/>
      <c r="BK62" s="218"/>
      <c r="BL62" s="245"/>
      <c r="BN62" s="224"/>
      <c r="BO62" s="251"/>
      <c r="BP62" s="220"/>
      <c r="BQ62" s="224"/>
      <c r="BR62" s="251"/>
      <c r="BS62" s="220"/>
      <c r="BT62" s="224"/>
      <c r="BU62" s="251"/>
      <c r="BV62" s="220"/>
      <c r="BW62" s="224"/>
      <c r="BX62" s="251"/>
      <c r="BY62" s="218"/>
      <c r="BZ62" s="245"/>
      <c r="CB62" s="224"/>
      <c r="CC62" s="251"/>
      <c r="CD62" s="220"/>
      <c r="CE62" s="224"/>
      <c r="CF62" s="251"/>
      <c r="CG62" s="220"/>
      <c r="CH62" s="224"/>
      <c r="CI62" s="251"/>
      <c r="CJ62" s="220"/>
      <c r="CK62" s="224"/>
      <c r="CL62" s="251"/>
      <c r="CM62" s="218"/>
      <c r="CN62" s="245"/>
    </row>
    <row r="63" spans="2:92" ht="15.75" thickBot="1" x14ac:dyDescent="0.25">
      <c r="B63" s="1345"/>
      <c r="C63" s="1231"/>
      <c r="D63" s="1265"/>
      <c r="E63" s="1212"/>
      <c r="F63" s="1210"/>
      <c r="G63" s="1213"/>
      <c r="H63" s="1219"/>
      <c r="J63" s="1248"/>
      <c r="K63" s="1199"/>
      <c r="L63" s="1199"/>
      <c r="M63" s="1199"/>
      <c r="N63" s="1199"/>
      <c r="O63" s="1199"/>
      <c r="P63" s="229"/>
      <c r="Q63" s="1248"/>
      <c r="R63" s="1251"/>
      <c r="S63" s="1251"/>
      <c r="T63" s="1251"/>
      <c r="U63" s="1251"/>
      <c r="V63" s="1253"/>
      <c r="W63" s="229"/>
      <c r="X63" s="1248"/>
      <c r="Y63" s="1251"/>
      <c r="Z63" s="1251"/>
      <c r="AA63" s="1255"/>
      <c r="AB63" s="1255"/>
      <c r="AC63" s="1245"/>
      <c r="AD63" s="229"/>
      <c r="AE63" s="1248"/>
      <c r="AF63" s="1251"/>
      <c r="AG63" s="1251"/>
      <c r="AH63" s="1251"/>
      <c r="AI63" s="1253"/>
      <c r="AJ63" s="244"/>
      <c r="AL63" s="224"/>
      <c r="AM63" s="251"/>
      <c r="AN63" s="220"/>
      <c r="AO63" s="224"/>
      <c r="AP63" s="251"/>
      <c r="AQ63" s="220"/>
      <c r="AR63" s="224"/>
      <c r="AS63" s="251"/>
      <c r="AT63" s="220"/>
      <c r="AU63" s="224"/>
      <c r="AV63" s="251"/>
      <c r="AW63" s="218"/>
      <c r="AX63" s="245"/>
      <c r="AZ63" s="224"/>
      <c r="BA63" s="251"/>
      <c r="BB63" s="220"/>
      <c r="BC63" s="224"/>
      <c r="BD63" s="251"/>
      <c r="BE63" s="220"/>
      <c r="BF63" s="224"/>
      <c r="BG63" s="251"/>
      <c r="BH63" s="220"/>
      <c r="BI63" s="224"/>
      <c r="BJ63" s="251"/>
      <c r="BK63" s="218"/>
      <c r="BL63" s="245"/>
      <c r="BN63" s="224"/>
      <c r="BO63" s="251"/>
      <c r="BP63" s="220"/>
      <c r="BQ63" s="224"/>
      <c r="BR63" s="251"/>
      <c r="BS63" s="220"/>
      <c r="BT63" s="224"/>
      <c r="BU63" s="251"/>
      <c r="BV63" s="220"/>
      <c r="BW63" s="224"/>
      <c r="BX63" s="251"/>
      <c r="BY63" s="218"/>
      <c r="BZ63" s="245"/>
      <c r="CB63" s="224"/>
      <c r="CC63" s="251"/>
      <c r="CD63" s="220"/>
      <c r="CE63" s="224"/>
      <c r="CF63" s="251"/>
      <c r="CG63" s="220"/>
      <c r="CH63" s="224"/>
      <c r="CI63" s="251"/>
      <c r="CJ63" s="220"/>
      <c r="CK63" s="224"/>
      <c r="CL63" s="251"/>
      <c r="CM63" s="218"/>
      <c r="CN63" s="245"/>
    </row>
    <row r="64" spans="2:92" ht="43.5" customHeight="1" thickBot="1" x14ac:dyDescent="0.25">
      <c r="B64" s="1345"/>
      <c r="C64" s="1231"/>
      <c r="D64" s="1265"/>
      <c r="E64" s="1212"/>
      <c r="F64" s="1201" t="s">
        <v>336</v>
      </c>
      <c r="G64" s="745" t="str">
        <f>+'Plan de Accion apoyo transversa'!X167</f>
        <v>Audiencia pública de Rendición de cuentas externa realizadas</v>
      </c>
      <c r="H64" s="1219"/>
      <c r="J64" s="230" t="e">
        <f>+'Plan de Accion apoyo transversa'!AW167</f>
        <v>#DIV/0!</v>
      </c>
      <c r="K64" s="732" t="str">
        <f>+'Plan de Accion apoyo transversa'!CF167</f>
        <v>No Prog ni Ejec</v>
      </c>
      <c r="L64" s="732" t="s">
        <v>204</v>
      </c>
      <c r="M64" s="732" t="s">
        <v>204</v>
      </c>
      <c r="N64" s="732" t="s">
        <v>204</v>
      </c>
      <c r="O64" s="732" t="s">
        <v>204</v>
      </c>
      <c r="P64" s="229"/>
      <c r="Q64" s="230" t="e">
        <f>+'Plan de Accion apoyo transversa'!BG167</f>
        <v>#DIV/0!</v>
      </c>
      <c r="R64" s="266" t="str">
        <f>+'Plan de Accion apoyo transversa'!CH167</f>
        <v>No Prog ni Ejec</v>
      </c>
      <c r="S64" s="228" t="s">
        <v>204</v>
      </c>
      <c r="T64" s="732">
        <f>+'Plan de Accion apoyo transversa'!BI167</f>
        <v>0</v>
      </c>
      <c r="U64" s="732">
        <f>IF(T64&gt;100%,100%,T64)</f>
        <v>0</v>
      </c>
      <c r="V64" s="227" t="s">
        <v>204</v>
      </c>
      <c r="W64" s="229"/>
      <c r="X64" s="230">
        <f>+'Plan de Accion apoyo transversa'!BQ167</f>
        <v>0</v>
      </c>
      <c r="Y64" s="266">
        <f>+'Plan de Accion apoyo transversa'!CJ167</f>
        <v>0</v>
      </c>
      <c r="Z64" s="228">
        <f>IF(Y64&gt;100%,100%,Y64)</f>
        <v>0</v>
      </c>
      <c r="AA64" s="233">
        <f>+'Plan de Accion apoyo transversa'!BS167</f>
        <v>0</v>
      </c>
      <c r="AB64" s="233">
        <f>IF(AA64&gt;100%,100%,AA64)</f>
        <v>0</v>
      </c>
      <c r="AC64" s="734">
        <f>+AB64</f>
        <v>0</v>
      </c>
      <c r="AD64" s="229"/>
      <c r="AE64" s="230" t="e">
        <f>+'Plan de Accion apoyo transversa'!CA167</f>
        <v>#DIV/0!</v>
      </c>
      <c r="AF64" s="266" t="str">
        <f>+'Plan de Accion apoyo transversa'!CL167</f>
        <v>No Prog ni Ejec</v>
      </c>
      <c r="AG64" s="228" t="s">
        <v>204</v>
      </c>
      <c r="AH64" s="266">
        <f>+'Plan de Accion apoyo transversa'!CC167</f>
        <v>0</v>
      </c>
      <c r="AI64" s="227">
        <f>IF(AH64&gt;100%,100%,AH64)</f>
        <v>0</v>
      </c>
      <c r="AJ64" s="244"/>
      <c r="AL64" s="739"/>
      <c r="AM64" s="251"/>
      <c r="AN64" s="220"/>
      <c r="AO64" s="739"/>
      <c r="AP64" s="251"/>
      <c r="AQ64" s="220"/>
      <c r="AR64" s="739"/>
      <c r="AS64" s="251"/>
      <c r="AT64" s="220"/>
      <c r="AU64" s="739"/>
      <c r="AV64" s="251"/>
      <c r="AW64" s="218"/>
      <c r="AX64" s="245"/>
      <c r="AZ64" s="739"/>
      <c r="BA64" s="251"/>
      <c r="BB64" s="220"/>
      <c r="BC64" s="739"/>
      <c r="BD64" s="251"/>
      <c r="BE64" s="220"/>
      <c r="BF64" s="739"/>
      <c r="BG64" s="251"/>
      <c r="BH64" s="220"/>
      <c r="BI64" s="739"/>
      <c r="BJ64" s="251"/>
      <c r="BK64" s="218"/>
      <c r="BL64" s="245"/>
      <c r="BN64" s="739"/>
      <c r="BO64" s="251"/>
      <c r="BP64" s="220"/>
      <c r="BQ64" s="739"/>
      <c r="BR64" s="251"/>
      <c r="BS64" s="220"/>
      <c r="BT64" s="739"/>
      <c r="BU64" s="251"/>
      <c r="BV64" s="220"/>
      <c r="BW64" s="739"/>
      <c r="BX64" s="251"/>
      <c r="BY64" s="218"/>
      <c r="BZ64" s="245"/>
      <c r="CB64" s="739"/>
      <c r="CC64" s="251"/>
      <c r="CD64" s="220"/>
      <c r="CE64" s="739"/>
      <c r="CF64" s="251"/>
      <c r="CG64" s="220"/>
      <c r="CH64" s="739"/>
      <c r="CI64" s="251"/>
      <c r="CJ64" s="220"/>
      <c r="CK64" s="739"/>
      <c r="CL64" s="251"/>
      <c r="CM64" s="218"/>
      <c r="CN64" s="245"/>
    </row>
    <row r="65" spans="2:92" ht="29.25" thickBot="1" x14ac:dyDescent="0.25">
      <c r="B65" s="1345"/>
      <c r="C65" s="1231"/>
      <c r="D65" s="1266"/>
      <c r="E65" s="1213"/>
      <c r="F65" s="1201"/>
      <c r="G65" s="335" t="str">
        <f>+'Plan de Accion apoyo transversa'!X14</f>
        <v>Informe de audiencia pública de rendición de cuentas</v>
      </c>
      <c r="H65" s="1219"/>
      <c r="J65" s="230" t="e">
        <f>+'Plan de Accion apoyo transversa'!AW14</f>
        <v>#DIV/0!</v>
      </c>
      <c r="K65" s="503" t="str">
        <f>+'Plan de Accion apoyo transversa'!CF14</f>
        <v>No Prog ni Ejec</v>
      </c>
      <c r="L65" s="503" t="s">
        <v>204</v>
      </c>
      <c r="M65" s="503">
        <f>+'Plan de Accion apoyo transversa'!AY14</f>
        <v>0</v>
      </c>
      <c r="N65" s="503">
        <f>IF(M65&gt;100%,100%,M65)</f>
        <v>0</v>
      </c>
      <c r="O65" s="503" t="s">
        <v>204</v>
      </c>
      <c r="P65" s="229"/>
      <c r="Q65" s="230" t="e">
        <f>+'Plan de Accion apoyo transversa'!BG14</f>
        <v>#DIV/0!</v>
      </c>
      <c r="R65" s="266" t="str">
        <f>+'Plan de Accion apoyo transversa'!CH14</f>
        <v>No Prog ni Ejec</v>
      </c>
      <c r="S65" s="228" t="s">
        <v>204</v>
      </c>
      <c r="T65" s="324">
        <f>+'Plan de Accion apoyo transversa'!BI14</f>
        <v>0</v>
      </c>
      <c r="U65" s="324">
        <f>IF(T65&gt;100%,100%,T65)</f>
        <v>0</v>
      </c>
      <c r="V65" s="227" t="s">
        <v>204</v>
      </c>
      <c r="W65" s="229"/>
      <c r="X65" s="230">
        <f>+'Plan de Accion apoyo transversa'!BQ14</f>
        <v>0</v>
      </c>
      <c r="Y65" s="266">
        <f>+'Plan de Accion apoyo transversa'!CJ14</f>
        <v>0</v>
      </c>
      <c r="Z65" s="228">
        <f>IF(Y65&gt;100%,100%,Y65)</f>
        <v>0</v>
      </c>
      <c r="AA65" s="233">
        <f>+'Plan de Accion apoyo transversa'!BS14</f>
        <v>0</v>
      </c>
      <c r="AB65" s="233">
        <f>IF(AA65&gt;100%,100%,AA65)</f>
        <v>0</v>
      </c>
      <c r="AC65" s="322">
        <f>+AB65</f>
        <v>0</v>
      </c>
      <c r="AD65" s="229"/>
      <c r="AE65" s="230" t="e">
        <f>+'Plan de Accion apoyo transversa'!CA14</f>
        <v>#DIV/0!</v>
      </c>
      <c r="AF65" s="266" t="str">
        <f>+'Plan de Accion apoyo transversa'!CL14</f>
        <v>No Prog ni Ejec</v>
      </c>
      <c r="AG65" s="228" t="s">
        <v>204</v>
      </c>
      <c r="AH65" s="266">
        <f>+'Plan de Accion apoyo transversa'!CC14</f>
        <v>0</v>
      </c>
      <c r="AI65" s="227">
        <f>IF(AH65&gt;100%,100%,AH65)</f>
        <v>0</v>
      </c>
      <c r="AJ65" s="244"/>
      <c r="AL65" s="224"/>
      <c r="AM65" s="251"/>
      <c r="AN65" s="220"/>
      <c r="AO65" s="224"/>
      <c r="AP65" s="251"/>
      <c r="AQ65" s="220"/>
      <c r="AR65" s="224"/>
      <c r="AS65" s="251"/>
      <c r="AT65" s="220"/>
      <c r="AU65" s="224"/>
      <c r="AV65" s="251"/>
      <c r="AW65" s="218"/>
      <c r="AX65" s="245"/>
      <c r="AZ65" s="224"/>
      <c r="BA65" s="251"/>
      <c r="BB65" s="220"/>
      <c r="BC65" s="224"/>
      <c r="BD65" s="251"/>
      <c r="BE65" s="220"/>
      <c r="BF65" s="224"/>
      <c r="BG65" s="251"/>
      <c r="BH65" s="220"/>
      <c r="BI65" s="224"/>
      <c r="BJ65" s="251"/>
      <c r="BK65" s="218"/>
      <c r="BL65" s="245"/>
      <c r="BN65" s="224"/>
      <c r="BO65" s="251"/>
      <c r="BP65" s="220"/>
      <c r="BQ65" s="224"/>
      <c r="BR65" s="251"/>
      <c r="BS65" s="220"/>
      <c r="BT65" s="224"/>
      <c r="BU65" s="251"/>
      <c r="BV65" s="220"/>
      <c r="BW65" s="224"/>
      <c r="BX65" s="251"/>
      <c r="BY65" s="218"/>
      <c r="BZ65" s="245"/>
      <c r="CB65" s="224"/>
      <c r="CC65" s="251"/>
      <c r="CD65" s="220"/>
      <c r="CE65" s="224"/>
      <c r="CF65" s="251"/>
      <c r="CG65" s="220"/>
      <c r="CH65" s="224"/>
      <c r="CI65" s="251"/>
      <c r="CJ65" s="220"/>
      <c r="CK65" s="224"/>
      <c r="CL65" s="251"/>
      <c r="CM65" s="218"/>
      <c r="CN65" s="245"/>
    </row>
    <row r="66" spans="2:92" ht="29.25" thickBot="1" x14ac:dyDescent="0.25">
      <c r="B66" s="1345"/>
      <c r="C66" s="1231"/>
      <c r="D66" s="1214" t="s">
        <v>204</v>
      </c>
      <c r="E66" s="1303" t="s">
        <v>14</v>
      </c>
      <c r="F66" s="357" t="s">
        <v>337</v>
      </c>
      <c r="G66" s="335" t="str">
        <f>+'Plan de Accion apoyo transversa'!X50</f>
        <v xml:space="preserve">Archivo documental transferido al custodio final </v>
      </c>
      <c r="H66" s="1219"/>
      <c r="J66" s="230">
        <f>+'Plan de Accion apoyo transversa'!AW50</f>
        <v>0</v>
      </c>
      <c r="K66" s="503">
        <f>+'Plan de Accion apoyo transversa'!CF50</f>
        <v>0</v>
      </c>
      <c r="L66" s="503">
        <f>IF(K66&gt;100%,100%,K66)</f>
        <v>0</v>
      </c>
      <c r="M66" s="503">
        <f>+'Plan de Accion apoyo transversa'!AY50</f>
        <v>0</v>
      </c>
      <c r="N66" s="503">
        <f>IF(M66&gt;100%,100%,M66)</f>
        <v>0</v>
      </c>
      <c r="O66" s="503">
        <f>+N66</f>
        <v>0</v>
      </c>
      <c r="P66" s="229"/>
      <c r="Q66" s="230">
        <f>+'Plan de Accion apoyo transversa'!BG50</f>
        <v>1</v>
      </c>
      <c r="R66" s="266">
        <f>+'Plan de Accion apoyo transversa'!CH50</f>
        <v>1</v>
      </c>
      <c r="S66" s="228">
        <f>IF(R66&gt;100%,100%,R66)</f>
        <v>1</v>
      </c>
      <c r="T66" s="324">
        <f>+'Plan de Accion apoyo transversa'!BI50</f>
        <v>0.375</v>
      </c>
      <c r="U66" s="324">
        <f>IF(T66&gt;100%,100%,T66)</f>
        <v>0.375</v>
      </c>
      <c r="V66" s="227">
        <f>+U66</f>
        <v>0.375</v>
      </c>
      <c r="W66" s="229"/>
      <c r="X66" s="230">
        <f>+'Plan de Accion apoyo transversa'!BQ50</f>
        <v>0</v>
      </c>
      <c r="Y66" s="266">
        <f>+'Plan de Accion apoyo transversa'!CJ50</f>
        <v>0</v>
      </c>
      <c r="Z66" s="228">
        <f>IF(Y66&gt;100%,100%,Y66)</f>
        <v>0</v>
      </c>
      <c r="AA66" s="233">
        <f>+'Plan de Accion apoyo transversa'!BS50</f>
        <v>0.375</v>
      </c>
      <c r="AB66" s="233">
        <f>IF(AA66&gt;100%,100%,AA66)</f>
        <v>0.375</v>
      </c>
      <c r="AC66" s="322">
        <f>+AB66</f>
        <v>0.375</v>
      </c>
      <c r="AD66" s="229"/>
      <c r="AE66" s="230">
        <f>+'Plan de Accion apoyo transversa'!CA50</f>
        <v>0</v>
      </c>
      <c r="AF66" s="266">
        <f>+'Plan de Accion apoyo transversa'!CL50</f>
        <v>0</v>
      </c>
      <c r="AG66" s="228">
        <f>IF(AF66&gt;100%,100%,AF66)</f>
        <v>0</v>
      </c>
      <c r="AH66" s="266">
        <f>+'Plan de Accion apoyo transversa'!CC50</f>
        <v>0.375</v>
      </c>
      <c r="AI66" s="227">
        <f>IF(AH66&gt;100%,100%,AH66)</f>
        <v>0.375</v>
      </c>
      <c r="AJ66" s="244"/>
      <c r="AL66" s="224"/>
      <c r="AM66" s="251"/>
      <c r="AN66" s="220"/>
      <c r="AO66" s="224"/>
      <c r="AP66" s="251"/>
      <c r="AQ66" s="220"/>
      <c r="AR66" s="224"/>
      <c r="AS66" s="251"/>
      <c r="AT66" s="220"/>
      <c r="AU66" s="224"/>
      <c r="AV66" s="251"/>
      <c r="AW66" s="218"/>
      <c r="AX66" s="245"/>
      <c r="AZ66" s="224"/>
      <c r="BA66" s="251"/>
      <c r="BB66" s="220"/>
      <c r="BC66" s="224"/>
      <c r="BD66" s="251"/>
      <c r="BE66" s="220"/>
      <c r="BF66" s="224"/>
      <c r="BG66" s="251"/>
      <c r="BH66" s="220"/>
      <c r="BI66" s="224"/>
      <c r="BJ66" s="251"/>
      <c r="BK66" s="218"/>
      <c r="BL66" s="245"/>
      <c r="BN66" s="224"/>
      <c r="BO66" s="251"/>
      <c r="BP66" s="220"/>
      <c r="BQ66" s="224"/>
      <c r="BR66" s="251"/>
      <c r="BS66" s="220"/>
      <c r="BT66" s="224"/>
      <c r="BU66" s="251"/>
      <c r="BV66" s="220"/>
      <c r="BW66" s="224"/>
      <c r="BX66" s="251"/>
      <c r="BY66" s="218"/>
      <c r="BZ66" s="245"/>
      <c r="CB66" s="224"/>
      <c r="CC66" s="251"/>
      <c r="CD66" s="220"/>
      <c r="CE66" s="224"/>
      <c r="CF66" s="251"/>
      <c r="CG66" s="220"/>
      <c r="CH66" s="224"/>
      <c r="CI66" s="251"/>
      <c r="CJ66" s="220"/>
      <c r="CK66" s="224"/>
      <c r="CL66" s="251"/>
      <c r="CM66" s="218"/>
      <c r="CN66" s="245"/>
    </row>
    <row r="67" spans="2:92" ht="86.25" thickBot="1" x14ac:dyDescent="0.25">
      <c r="B67" s="1345"/>
      <c r="C67" s="1231"/>
      <c r="D67" s="1215"/>
      <c r="E67" s="1303"/>
      <c r="F67" s="1304" t="s">
        <v>1189</v>
      </c>
      <c r="G67" s="335" t="str">
        <f>+'Plan de Accion apoyo transversa'!X56</f>
        <v>Jornada de socialización y divulgación de las Políticas de SST y Prevención de alcohol y drogas a todos los servidores públicos y partes interesadas realizada</v>
      </c>
      <c r="H67" s="1219"/>
      <c r="J67" s="1246">
        <f>+'Plan de Accion apoyo transversa'!AW56</f>
        <v>0.61111112365071651</v>
      </c>
      <c r="K67" s="1197">
        <f>+'Plan de Accion apoyo transversa'!CF56</f>
        <v>0.61111112365071651</v>
      </c>
      <c r="L67" s="1197">
        <f>IF(K67&gt;100%,100%,K67)</f>
        <v>0.61111112365071651</v>
      </c>
      <c r="M67" s="1197">
        <f>+'Plan de Accion apoyo transversa'!AY56</f>
        <v>0.15277778091267913</v>
      </c>
      <c r="N67" s="1197">
        <f>IF(M67&gt;100%,100%,M67)</f>
        <v>0.15277778091267913</v>
      </c>
      <c r="O67" s="1197">
        <f>+N67</f>
        <v>0.15277778091267913</v>
      </c>
      <c r="P67" s="229"/>
      <c r="Q67" s="1246">
        <f>+'Plan de Accion apoyo transversa'!BG56</f>
        <v>0.5</v>
      </c>
      <c r="R67" s="1249">
        <f>+'Plan de Accion apoyo transversa'!CH56</f>
        <v>0.5</v>
      </c>
      <c r="S67" s="1249">
        <f>IF(R67&gt;100%,100%,R67)</f>
        <v>0.5</v>
      </c>
      <c r="T67" s="1249">
        <f>+'Plan de Accion apoyo transversa'!BI56</f>
        <v>0.27777778091267913</v>
      </c>
      <c r="U67" s="1249">
        <f>IF(T67&gt;100%,100%,T67)</f>
        <v>0.27777778091267913</v>
      </c>
      <c r="V67" s="1252">
        <f>+U67</f>
        <v>0.27777778091267913</v>
      </c>
      <c r="W67" s="229"/>
      <c r="X67" s="1246">
        <f>+'Plan de Accion apoyo transversa'!BQ56</f>
        <v>0</v>
      </c>
      <c r="Y67" s="1249">
        <f>+'Plan de Accion apoyo transversa'!CJ56</f>
        <v>0</v>
      </c>
      <c r="Z67" s="1249">
        <f>IF(Y67&gt;100%,100%,Y67)</f>
        <v>0</v>
      </c>
      <c r="AA67" s="1254">
        <f>+'Plan de Accion apoyo transversa'!BS56</f>
        <v>0.27777778091267913</v>
      </c>
      <c r="AB67" s="1254">
        <f>IF(AA67&gt;100%,100%,AA67)</f>
        <v>0.27777778091267913</v>
      </c>
      <c r="AC67" s="1244">
        <f>+AB67</f>
        <v>0.27777778091267913</v>
      </c>
      <c r="AD67" s="229"/>
      <c r="AE67" s="1246">
        <f>+'Plan de Accion apoyo transversa'!CA56</f>
        <v>0</v>
      </c>
      <c r="AF67" s="1249">
        <f>+'Plan de Accion apoyo transversa'!CL56</f>
        <v>0</v>
      </c>
      <c r="AG67" s="1249">
        <f>IF(AF67&gt;100%,100%,AF67)</f>
        <v>0</v>
      </c>
      <c r="AH67" s="1249">
        <f>+'Plan de Accion apoyo transversa'!CC56</f>
        <v>0.27777778091267913</v>
      </c>
      <c r="AI67" s="1252">
        <f>IF(AH67&gt;100%,100%,AH67)</f>
        <v>0.27777778091267913</v>
      </c>
      <c r="AJ67" s="244"/>
      <c r="AL67" s="224"/>
      <c r="AM67" s="251"/>
      <c r="AN67" s="220"/>
      <c r="AO67" s="224"/>
      <c r="AP67" s="251"/>
      <c r="AQ67" s="220"/>
      <c r="AR67" s="224"/>
      <c r="AS67" s="251"/>
      <c r="AT67" s="220"/>
      <c r="AU67" s="224"/>
      <c r="AV67" s="251"/>
      <c r="AW67" s="218"/>
      <c r="AX67" s="245"/>
      <c r="AZ67" s="224"/>
      <c r="BA67" s="251"/>
      <c r="BB67" s="220"/>
      <c r="BC67" s="224"/>
      <c r="BD67" s="251"/>
      <c r="BE67" s="220"/>
      <c r="BF67" s="224"/>
      <c r="BG67" s="251"/>
      <c r="BH67" s="220"/>
      <c r="BI67" s="224"/>
      <c r="BJ67" s="251"/>
      <c r="BK67" s="218"/>
      <c r="BL67" s="245"/>
      <c r="BN67" s="224"/>
      <c r="BO67" s="251"/>
      <c r="BP67" s="220"/>
      <c r="BQ67" s="224"/>
      <c r="BR67" s="251"/>
      <c r="BS67" s="220"/>
      <c r="BT67" s="224"/>
      <c r="BU67" s="251"/>
      <c r="BV67" s="220"/>
      <c r="BW67" s="224"/>
      <c r="BX67" s="251"/>
      <c r="BY67" s="218"/>
      <c r="BZ67" s="245"/>
      <c r="CB67" s="224"/>
      <c r="CC67" s="251"/>
      <c r="CD67" s="220"/>
      <c r="CE67" s="224"/>
      <c r="CF67" s="251"/>
      <c r="CG67" s="220"/>
      <c r="CH67" s="224"/>
      <c r="CI67" s="251"/>
      <c r="CJ67" s="220"/>
      <c r="CK67" s="224"/>
      <c r="CL67" s="251"/>
      <c r="CM67" s="218"/>
      <c r="CN67" s="245"/>
    </row>
    <row r="68" spans="2:92" ht="29.25" thickBot="1" x14ac:dyDescent="0.25">
      <c r="B68" s="1345"/>
      <c r="C68" s="1231"/>
      <c r="D68" s="1215"/>
      <c r="E68" s="1303"/>
      <c r="F68" s="1304"/>
      <c r="G68" s="335" t="str">
        <f>+'Plan de Accion apoyo transversa'!X57</f>
        <v>Matriz de requisitos legales actualizada</v>
      </c>
      <c r="H68" s="1219"/>
      <c r="J68" s="1247"/>
      <c r="K68" s="1198"/>
      <c r="L68" s="1198"/>
      <c r="M68" s="1198"/>
      <c r="N68" s="1198"/>
      <c r="O68" s="1198"/>
      <c r="P68" s="229"/>
      <c r="Q68" s="1247"/>
      <c r="R68" s="1250"/>
      <c r="S68" s="1250"/>
      <c r="T68" s="1250"/>
      <c r="U68" s="1250"/>
      <c r="V68" s="1281"/>
      <c r="W68" s="229"/>
      <c r="X68" s="1247"/>
      <c r="Y68" s="1250"/>
      <c r="Z68" s="1250"/>
      <c r="AA68" s="1296"/>
      <c r="AB68" s="1296"/>
      <c r="AC68" s="1297"/>
      <c r="AD68" s="229"/>
      <c r="AE68" s="1247"/>
      <c r="AF68" s="1250"/>
      <c r="AG68" s="1250"/>
      <c r="AH68" s="1250"/>
      <c r="AI68" s="1281"/>
      <c r="AJ68" s="244"/>
      <c r="AL68" s="224"/>
      <c r="AM68" s="251"/>
      <c r="AN68" s="220"/>
      <c r="AO68" s="224"/>
      <c r="AP68" s="251"/>
      <c r="AQ68" s="220"/>
      <c r="AR68" s="224"/>
      <c r="AS68" s="251"/>
      <c r="AT68" s="220"/>
      <c r="AU68" s="224"/>
      <c r="AV68" s="251"/>
      <c r="AW68" s="218"/>
      <c r="AX68" s="245"/>
      <c r="AZ68" s="224"/>
      <c r="BA68" s="251"/>
      <c r="BB68" s="220"/>
      <c r="BC68" s="224"/>
      <c r="BD68" s="251"/>
      <c r="BE68" s="220"/>
      <c r="BF68" s="224"/>
      <c r="BG68" s="251"/>
      <c r="BH68" s="220"/>
      <c r="BI68" s="224"/>
      <c r="BJ68" s="251"/>
      <c r="BK68" s="218"/>
      <c r="BL68" s="245"/>
      <c r="BN68" s="224"/>
      <c r="BO68" s="251"/>
      <c r="BP68" s="220"/>
      <c r="BQ68" s="224"/>
      <c r="BR68" s="251"/>
      <c r="BS68" s="220"/>
      <c r="BT68" s="224"/>
      <c r="BU68" s="251"/>
      <c r="BV68" s="220"/>
      <c r="BW68" s="224"/>
      <c r="BX68" s="251"/>
      <c r="BY68" s="218"/>
      <c r="BZ68" s="245"/>
      <c r="CB68" s="224"/>
      <c r="CC68" s="251"/>
      <c r="CD68" s="220"/>
      <c r="CE68" s="224"/>
      <c r="CF68" s="251"/>
      <c r="CG68" s="220"/>
      <c r="CH68" s="224"/>
      <c r="CI68" s="251"/>
      <c r="CJ68" s="220"/>
      <c r="CK68" s="224"/>
      <c r="CL68" s="251"/>
      <c r="CM68" s="218"/>
      <c r="CN68" s="245"/>
    </row>
    <row r="69" spans="2:92" ht="29.25" thickBot="1" x14ac:dyDescent="0.25">
      <c r="B69" s="1345"/>
      <c r="C69" s="1231"/>
      <c r="D69" s="1215"/>
      <c r="E69" s="1303"/>
      <c r="F69" s="1304"/>
      <c r="G69" s="335" t="str">
        <f>+'Plan de Accion apoyo transversa'!X58</f>
        <v xml:space="preserve"> Documentos del SG-SST actualizados</v>
      </c>
      <c r="H69" s="1219"/>
      <c r="J69" s="1247"/>
      <c r="K69" s="1198"/>
      <c r="L69" s="1198"/>
      <c r="M69" s="1198"/>
      <c r="N69" s="1198"/>
      <c r="O69" s="1198"/>
      <c r="P69" s="229"/>
      <c r="Q69" s="1247"/>
      <c r="R69" s="1250"/>
      <c r="S69" s="1250"/>
      <c r="T69" s="1250"/>
      <c r="U69" s="1250"/>
      <c r="V69" s="1281"/>
      <c r="W69" s="229"/>
      <c r="X69" s="1247"/>
      <c r="Y69" s="1250"/>
      <c r="Z69" s="1250"/>
      <c r="AA69" s="1296"/>
      <c r="AB69" s="1296"/>
      <c r="AC69" s="1297"/>
      <c r="AD69" s="229"/>
      <c r="AE69" s="1247"/>
      <c r="AF69" s="1250"/>
      <c r="AG69" s="1250"/>
      <c r="AH69" s="1250"/>
      <c r="AI69" s="1281"/>
      <c r="AJ69" s="244"/>
      <c r="AL69" s="224"/>
      <c r="AM69" s="251"/>
      <c r="AN69" s="220"/>
      <c r="AO69" s="224"/>
      <c r="AP69" s="251"/>
      <c r="AQ69" s="220"/>
      <c r="AR69" s="224"/>
      <c r="AS69" s="251"/>
      <c r="AT69" s="220"/>
      <c r="AU69" s="224"/>
      <c r="AV69" s="251"/>
      <c r="AW69" s="218"/>
      <c r="AX69" s="245"/>
      <c r="AZ69" s="224"/>
      <c r="BA69" s="251"/>
      <c r="BB69" s="220"/>
      <c r="BC69" s="224"/>
      <c r="BD69" s="251"/>
      <c r="BE69" s="220"/>
      <c r="BF69" s="224"/>
      <c r="BG69" s="251"/>
      <c r="BH69" s="220"/>
      <c r="BI69" s="224"/>
      <c r="BJ69" s="251"/>
      <c r="BK69" s="218"/>
      <c r="BL69" s="245"/>
      <c r="BN69" s="224"/>
      <c r="BO69" s="251"/>
      <c r="BP69" s="220"/>
      <c r="BQ69" s="224"/>
      <c r="BR69" s="251"/>
      <c r="BS69" s="220"/>
      <c r="BT69" s="224"/>
      <c r="BU69" s="251"/>
      <c r="BV69" s="220"/>
      <c r="BW69" s="224"/>
      <c r="BX69" s="251"/>
      <c r="BY69" s="218"/>
      <c r="BZ69" s="245"/>
      <c r="CB69" s="224"/>
      <c r="CC69" s="251"/>
      <c r="CD69" s="220"/>
      <c r="CE69" s="224"/>
      <c r="CF69" s="251"/>
      <c r="CG69" s="220"/>
      <c r="CH69" s="224"/>
      <c r="CI69" s="251"/>
      <c r="CJ69" s="220"/>
      <c r="CK69" s="224"/>
      <c r="CL69" s="251"/>
      <c r="CM69" s="218"/>
      <c r="CN69" s="245"/>
    </row>
    <row r="70" spans="2:92" ht="29.25" thickBot="1" x14ac:dyDescent="0.25">
      <c r="B70" s="1345"/>
      <c r="C70" s="1231"/>
      <c r="D70" s="1215"/>
      <c r="E70" s="1303"/>
      <c r="F70" s="1304"/>
      <c r="G70" s="335" t="str">
        <f>+'Plan de Accion apoyo transversa'!X59</f>
        <v>Programa de medicina preventiva elaborado</v>
      </c>
      <c r="H70" s="1219"/>
      <c r="J70" s="1247"/>
      <c r="K70" s="1198"/>
      <c r="L70" s="1198"/>
      <c r="M70" s="1198"/>
      <c r="N70" s="1198"/>
      <c r="O70" s="1198"/>
      <c r="P70" s="229"/>
      <c r="Q70" s="1247"/>
      <c r="R70" s="1250"/>
      <c r="S70" s="1250"/>
      <c r="T70" s="1250"/>
      <c r="U70" s="1250"/>
      <c r="V70" s="1281"/>
      <c r="W70" s="229"/>
      <c r="X70" s="1247"/>
      <c r="Y70" s="1250"/>
      <c r="Z70" s="1250"/>
      <c r="AA70" s="1296"/>
      <c r="AB70" s="1296"/>
      <c r="AC70" s="1297"/>
      <c r="AD70" s="229"/>
      <c r="AE70" s="1247"/>
      <c r="AF70" s="1250"/>
      <c r="AG70" s="1250"/>
      <c r="AH70" s="1250"/>
      <c r="AI70" s="1281"/>
      <c r="AJ70" s="244"/>
      <c r="AL70" s="224"/>
      <c r="AM70" s="251"/>
      <c r="AN70" s="220"/>
      <c r="AO70" s="224"/>
      <c r="AP70" s="251"/>
      <c r="AQ70" s="220"/>
      <c r="AR70" s="224"/>
      <c r="AS70" s="251"/>
      <c r="AT70" s="220"/>
      <c r="AU70" s="224"/>
      <c r="AV70" s="251"/>
      <c r="AW70" s="218"/>
      <c r="AX70" s="245"/>
      <c r="AZ70" s="224"/>
      <c r="BA70" s="251"/>
      <c r="BB70" s="220"/>
      <c r="BC70" s="224"/>
      <c r="BD70" s="251"/>
      <c r="BE70" s="220"/>
      <c r="BF70" s="224"/>
      <c r="BG70" s="251"/>
      <c r="BH70" s="220"/>
      <c r="BI70" s="224"/>
      <c r="BJ70" s="251"/>
      <c r="BK70" s="218"/>
      <c r="BL70" s="245"/>
      <c r="BN70" s="224"/>
      <c r="BO70" s="251"/>
      <c r="BP70" s="220"/>
      <c r="BQ70" s="224"/>
      <c r="BR70" s="251"/>
      <c r="BS70" s="220"/>
      <c r="BT70" s="224"/>
      <c r="BU70" s="251"/>
      <c r="BV70" s="220"/>
      <c r="BW70" s="224"/>
      <c r="BX70" s="251"/>
      <c r="BY70" s="218"/>
      <c r="BZ70" s="245"/>
      <c r="CB70" s="224"/>
      <c r="CC70" s="251"/>
      <c r="CD70" s="220"/>
      <c r="CE70" s="224"/>
      <c r="CF70" s="251"/>
      <c r="CG70" s="220"/>
      <c r="CH70" s="224"/>
      <c r="CI70" s="251"/>
      <c r="CJ70" s="220"/>
      <c r="CK70" s="224"/>
      <c r="CL70" s="251"/>
      <c r="CM70" s="218"/>
      <c r="CN70" s="245"/>
    </row>
    <row r="71" spans="2:92" ht="29.25" thickBot="1" x14ac:dyDescent="0.25">
      <c r="B71" s="1345"/>
      <c r="C71" s="1231"/>
      <c r="D71" s="1215"/>
      <c r="E71" s="1303"/>
      <c r="F71" s="1304"/>
      <c r="G71" s="335" t="str">
        <f>+'Plan de Accion apoyo transversa'!X60</f>
        <v>Programa de orden y aseso elaborado</v>
      </c>
      <c r="H71" s="1219"/>
      <c r="J71" s="1247"/>
      <c r="K71" s="1198"/>
      <c r="L71" s="1198"/>
      <c r="M71" s="1198"/>
      <c r="N71" s="1198"/>
      <c r="O71" s="1198"/>
      <c r="P71" s="229"/>
      <c r="Q71" s="1247"/>
      <c r="R71" s="1250"/>
      <c r="S71" s="1250"/>
      <c r="T71" s="1250"/>
      <c r="U71" s="1250"/>
      <c r="V71" s="1281"/>
      <c r="W71" s="229"/>
      <c r="X71" s="1247"/>
      <c r="Y71" s="1250"/>
      <c r="Z71" s="1250"/>
      <c r="AA71" s="1296"/>
      <c r="AB71" s="1296"/>
      <c r="AC71" s="1297"/>
      <c r="AD71" s="229"/>
      <c r="AE71" s="1247"/>
      <c r="AF71" s="1250"/>
      <c r="AG71" s="1250"/>
      <c r="AH71" s="1250"/>
      <c r="AI71" s="1281"/>
      <c r="AJ71" s="244"/>
      <c r="AL71" s="224"/>
      <c r="AM71" s="251"/>
      <c r="AN71" s="220"/>
      <c r="AO71" s="224"/>
      <c r="AP71" s="251"/>
      <c r="AQ71" s="220"/>
      <c r="AR71" s="224"/>
      <c r="AS71" s="251"/>
      <c r="AT71" s="220"/>
      <c r="AU71" s="224"/>
      <c r="AV71" s="251"/>
      <c r="AW71" s="218"/>
      <c r="AX71" s="245"/>
      <c r="AZ71" s="224"/>
      <c r="BA71" s="251"/>
      <c r="BB71" s="220"/>
      <c r="BC71" s="224"/>
      <c r="BD71" s="251"/>
      <c r="BE71" s="220"/>
      <c r="BF71" s="224"/>
      <c r="BG71" s="251"/>
      <c r="BH71" s="220"/>
      <c r="BI71" s="224"/>
      <c r="BJ71" s="251"/>
      <c r="BK71" s="218"/>
      <c r="BL71" s="245"/>
      <c r="BN71" s="224"/>
      <c r="BO71" s="251"/>
      <c r="BP71" s="220"/>
      <c r="BQ71" s="224"/>
      <c r="BR71" s="251"/>
      <c r="BS71" s="220"/>
      <c r="BT71" s="224"/>
      <c r="BU71" s="251"/>
      <c r="BV71" s="220"/>
      <c r="BW71" s="224"/>
      <c r="BX71" s="251"/>
      <c r="BY71" s="218"/>
      <c r="BZ71" s="245"/>
      <c r="CB71" s="224"/>
      <c r="CC71" s="251"/>
      <c r="CD71" s="220"/>
      <c r="CE71" s="224"/>
      <c r="CF71" s="251"/>
      <c r="CG71" s="220"/>
      <c r="CH71" s="224"/>
      <c r="CI71" s="251"/>
      <c r="CJ71" s="220"/>
      <c r="CK71" s="224"/>
      <c r="CL71" s="251"/>
      <c r="CM71" s="218"/>
      <c r="CN71" s="245"/>
    </row>
    <row r="72" spans="2:92" ht="57.75" thickBot="1" x14ac:dyDescent="0.25">
      <c r="B72" s="1345"/>
      <c r="C72" s="1231"/>
      <c r="D72" s="1215"/>
      <c r="E72" s="1303"/>
      <c r="F72" s="1304"/>
      <c r="G72" s="335" t="str">
        <f>+'Plan de Accion apoyo transversa'!X61</f>
        <v>Programa de vigilancia epidemiológicos  de riesgo Psicosocial y Biomecánico elaborado</v>
      </c>
      <c r="H72" s="1219"/>
      <c r="J72" s="1247"/>
      <c r="K72" s="1198"/>
      <c r="L72" s="1198"/>
      <c r="M72" s="1198"/>
      <c r="N72" s="1198"/>
      <c r="O72" s="1198"/>
      <c r="P72" s="229"/>
      <c r="Q72" s="1247"/>
      <c r="R72" s="1250"/>
      <c r="S72" s="1250"/>
      <c r="T72" s="1250"/>
      <c r="U72" s="1250"/>
      <c r="V72" s="1281"/>
      <c r="W72" s="229"/>
      <c r="X72" s="1247"/>
      <c r="Y72" s="1250"/>
      <c r="Z72" s="1250"/>
      <c r="AA72" s="1296"/>
      <c r="AB72" s="1296"/>
      <c r="AC72" s="1297"/>
      <c r="AD72" s="229"/>
      <c r="AE72" s="1247"/>
      <c r="AF72" s="1250"/>
      <c r="AG72" s="1250"/>
      <c r="AH72" s="1250"/>
      <c r="AI72" s="1281"/>
      <c r="AJ72" s="261"/>
      <c r="AK72" s="253"/>
      <c r="AL72" s="259"/>
      <c r="AM72" s="258"/>
      <c r="AN72" s="260"/>
      <c r="AO72" s="259"/>
      <c r="AP72" s="258"/>
      <c r="AQ72" s="260"/>
      <c r="AR72" s="259"/>
      <c r="AS72" s="258"/>
      <c r="AT72" s="260"/>
      <c r="AU72" s="259"/>
      <c r="AV72" s="258"/>
      <c r="AW72" s="252"/>
      <c r="AX72" s="257"/>
      <c r="AY72" s="252"/>
      <c r="AZ72" s="259"/>
      <c r="BA72" s="258"/>
      <c r="BB72" s="260"/>
      <c r="BC72" s="259"/>
      <c r="BD72" s="258"/>
      <c r="BE72" s="260"/>
      <c r="BF72" s="259"/>
      <c r="BG72" s="258"/>
      <c r="BH72" s="260"/>
      <c r="BI72" s="259"/>
      <c r="BJ72" s="258"/>
      <c r="BK72" s="252"/>
      <c r="BL72" s="257"/>
      <c r="BN72" s="259"/>
      <c r="BO72" s="258"/>
      <c r="BP72" s="260"/>
      <c r="BQ72" s="259"/>
      <c r="BR72" s="258"/>
      <c r="BS72" s="260"/>
      <c r="BT72" s="259"/>
      <c r="BU72" s="258"/>
      <c r="BV72" s="260"/>
      <c r="BW72" s="259"/>
      <c r="BX72" s="258"/>
      <c r="BY72" s="252"/>
      <c r="BZ72" s="257"/>
      <c r="CB72" s="259"/>
      <c r="CC72" s="258"/>
      <c r="CD72" s="260"/>
      <c r="CE72" s="259"/>
      <c r="CF72" s="258"/>
      <c r="CG72" s="260"/>
      <c r="CH72" s="259"/>
      <c r="CI72" s="258"/>
      <c r="CJ72" s="260"/>
      <c r="CK72" s="259"/>
      <c r="CL72" s="258"/>
      <c r="CM72" s="252"/>
      <c r="CN72" s="257"/>
    </row>
    <row r="73" spans="2:92" ht="57.75" thickBot="1" x14ac:dyDescent="0.25">
      <c r="B73" s="1345"/>
      <c r="C73" s="1231"/>
      <c r="D73" s="1215"/>
      <c r="E73" s="1303"/>
      <c r="F73" s="1304"/>
      <c r="G73" s="335" t="str">
        <f>+'Plan de Accion apoyo transversa'!X62</f>
        <v>Programa de manejo de sustancias químicas (Sistema Globalmente armonizado) elaborado</v>
      </c>
      <c r="H73" s="1219"/>
      <c r="J73" s="1247"/>
      <c r="K73" s="1198"/>
      <c r="L73" s="1198"/>
      <c r="M73" s="1198"/>
      <c r="N73" s="1198"/>
      <c r="O73" s="1198"/>
      <c r="P73" s="229"/>
      <c r="Q73" s="1247"/>
      <c r="R73" s="1250"/>
      <c r="S73" s="1250"/>
      <c r="T73" s="1250"/>
      <c r="U73" s="1250"/>
      <c r="V73" s="1281"/>
      <c r="W73" s="229"/>
      <c r="X73" s="1247"/>
      <c r="Y73" s="1250"/>
      <c r="Z73" s="1250"/>
      <c r="AA73" s="1296"/>
      <c r="AB73" s="1296"/>
      <c r="AC73" s="1297"/>
      <c r="AD73" s="229"/>
      <c r="AE73" s="1247"/>
      <c r="AF73" s="1250"/>
      <c r="AG73" s="1250"/>
      <c r="AH73" s="1250"/>
      <c r="AI73" s="1281"/>
      <c r="AJ73" s="261"/>
      <c r="AK73" s="253"/>
      <c r="AL73" s="259"/>
      <c r="AM73" s="258"/>
      <c r="AN73" s="260"/>
      <c r="AO73" s="259"/>
      <c r="AP73" s="258"/>
      <c r="AQ73" s="260"/>
      <c r="AR73" s="259"/>
      <c r="AS73" s="258"/>
      <c r="AT73" s="260"/>
      <c r="AU73" s="259"/>
      <c r="AV73" s="258"/>
      <c r="AW73" s="252"/>
      <c r="AX73" s="257"/>
      <c r="AY73" s="252"/>
      <c r="AZ73" s="259"/>
      <c r="BA73" s="258"/>
      <c r="BB73" s="260"/>
      <c r="BC73" s="259"/>
      <c r="BD73" s="258"/>
      <c r="BE73" s="260"/>
      <c r="BF73" s="259"/>
      <c r="BG73" s="258"/>
      <c r="BH73" s="260"/>
      <c r="BI73" s="259"/>
      <c r="BJ73" s="258"/>
      <c r="BK73" s="252"/>
      <c r="BL73" s="257"/>
      <c r="BN73" s="259"/>
      <c r="BO73" s="258"/>
      <c r="BP73" s="260"/>
      <c r="BQ73" s="259"/>
      <c r="BR73" s="258"/>
      <c r="BS73" s="260"/>
      <c r="BT73" s="259"/>
      <c r="BU73" s="258"/>
      <c r="BV73" s="260"/>
      <c r="BW73" s="259"/>
      <c r="BX73" s="258"/>
      <c r="BY73" s="252"/>
      <c r="BZ73" s="257"/>
      <c r="CB73" s="259"/>
      <c r="CC73" s="258"/>
      <c r="CD73" s="260"/>
      <c r="CE73" s="259"/>
      <c r="CF73" s="258"/>
      <c r="CG73" s="260"/>
      <c r="CH73" s="259"/>
      <c r="CI73" s="258"/>
      <c r="CJ73" s="260"/>
      <c r="CK73" s="259"/>
      <c r="CL73" s="258"/>
      <c r="CM73" s="252"/>
      <c r="CN73" s="257"/>
    </row>
    <row r="74" spans="2:92" ht="72" thickBot="1" x14ac:dyDescent="0.25">
      <c r="B74" s="1345"/>
      <c r="C74" s="1231"/>
      <c r="D74" s="1215"/>
      <c r="E74" s="1303"/>
      <c r="F74" s="1304"/>
      <c r="G74" s="335" t="str">
        <f>+'Plan de Accion apoyo transversa'!X63</f>
        <v>Jornada de socialización y divulgación de los roles y responsabilidades a todos los servidores públicos y partes interesadas realizada</v>
      </c>
      <c r="H74" s="1219"/>
      <c r="J74" s="1247"/>
      <c r="K74" s="1198"/>
      <c r="L74" s="1198"/>
      <c r="M74" s="1198"/>
      <c r="N74" s="1198"/>
      <c r="O74" s="1198"/>
      <c r="P74" s="229"/>
      <c r="Q74" s="1247"/>
      <c r="R74" s="1250"/>
      <c r="S74" s="1250"/>
      <c r="T74" s="1250"/>
      <c r="U74" s="1250"/>
      <c r="V74" s="1281"/>
      <c r="W74" s="229"/>
      <c r="X74" s="1247"/>
      <c r="Y74" s="1250"/>
      <c r="Z74" s="1250"/>
      <c r="AA74" s="1296"/>
      <c r="AB74" s="1296"/>
      <c r="AC74" s="1297"/>
      <c r="AD74" s="229"/>
      <c r="AE74" s="1247"/>
      <c r="AF74" s="1250"/>
      <c r="AG74" s="1250"/>
      <c r="AH74" s="1250"/>
      <c r="AI74" s="1281"/>
      <c r="AJ74" s="261"/>
      <c r="AK74" s="253"/>
      <c r="AL74" s="259"/>
      <c r="AM74" s="258"/>
      <c r="AN74" s="260"/>
      <c r="AO74" s="259"/>
      <c r="AP74" s="258"/>
      <c r="AQ74" s="260"/>
      <c r="AR74" s="259"/>
      <c r="AS74" s="258"/>
      <c r="AT74" s="260"/>
      <c r="AU74" s="259"/>
      <c r="AV74" s="258"/>
      <c r="AW74" s="252"/>
      <c r="AX74" s="257"/>
      <c r="AY74" s="252"/>
      <c r="AZ74" s="259"/>
      <c r="BA74" s="258"/>
      <c r="BB74" s="260"/>
      <c r="BC74" s="259"/>
      <c r="BD74" s="258"/>
      <c r="BE74" s="260"/>
      <c r="BF74" s="259"/>
      <c r="BG74" s="258"/>
      <c r="BH74" s="260"/>
      <c r="BI74" s="259"/>
      <c r="BJ74" s="258"/>
      <c r="BK74" s="252"/>
      <c r="BL74" s="257"/>
      <c r="BN74" s="259"/>
      <c r="BO74" s="258"/>
      <c r="BP74" s="260"/>
      <c r="BQ74" s="259"/>
      <c r="BR74" s="258"/>
      <c r="BS74" s="260"/>
      <c r="BT74" s="259"/>
      <c r="BU74" s="258"/>
      <c r="BV74" s="260"/>
      <c r="BW74" s="259"/>
      <c r="BX74" s="258"/>
      <c r="BY74" s="252"/>
      <c r="BZ74" s="257"/>
      <c r="CB74" s="259"/>
      <c r="CC74" s="258"/>
      <c r="CD74" s="260"/>
      <c r="CE74" s="259"/>
      <c r="CF74" s="258"/>
      <c r="CG74" s="260"/>
      <c r="CH74" s="259"/>
      <c r="CI74" s="258"/>
      <c r="CJ74" s="260"/>
      <c r="CK74" s="259"/>
      <c r="CL74" s="258"/>
      <c r="CM74" s="252"/>
      <c r="CN74" s="257"/>
    </row>
    <row r="75" spans="2:92" ht="72" thickBot="1" x14ac:dyDescent="0.25">
      <c r="B75" s="1345"/>
      <c r="C75" s="1231"/>
      <c r="D75" s="1215"/>
      <c r="E75" s="1303"/>
      <c r="F75" s="1304"/>
      <c r="G75" s="335" t="str">
        <f>+'Plan de Accion apoyo transversa'!X64</f>
        <v>Rendición de Cuentas del Sistema de Seguridad y Salud en el Trabajo a todos los niveles de la Entidad  realizada</v>
      </c>
      <c r="H75" s="1219"/>
      <c r="J75" s="1247"/>
      <c r="K75" s="1198"/>
      <c r="L75" s="1198"/>
      <c r="M75" s="1198"/>
      <c r="N75" s="1198"/>
      <c r="O75" s="1198"/>
      <c r="P75" s="229"/>
      <c r="Q75" s="1247"/>
      <c r="R75" s="1250"/>
      <c r="S75" s="1250"/>
      <c r="T75" s="1250"/>
      <c r="U75" s="1250"/>
      <c r="V75" s="1281"/>
      <c r="W75" s="229"/>
      <c r="X75" s="1247"/>
      <c r="Y75" s="1250"/>
      <c r="Z75" s="1250"/>
      <c r="AA75" s="1296"/>
      <c r="AB75" s="1296"/>
      <c r="AC75" s="1297"/>
      <c r="AD75" s="229"/>
      <c r="AE75" s="1247"/>
      <c r="AF75" s="1250"/>
      <c r="AG75" s="1250"/>
      <c r="AH75" s="1250"/>
      <c r="AI75" s="1281"/>
      <c r="AJ75" s="261"/>
      <c r="AK75" s="253"/>
      <c r="AL75" s="259"/>
      <c r="AM75" s="258"/>
      <c r="AN75" s="260"/>
      <c r="AO75" s="259"/>
      <c r="AP75" s="258"/>
      <c r="AQ75" s="260"/>
      <c r="AR75" s="259"/>
      <c r="AS75" s="258"/>
      <c r="AT75" s="260"/>
      <c r="AU75" s="259"/>
      <c r="AV75" s="258"/>
      <c r="AW75" s="252"/>
      <c r="AX75" s="257"/>
      <c r="AY75" s="252"/>
      <c r="AZ75" s="259"/>
      <c r="BA75" s="258"/>
      <c r="BB75" s="260"/>
      <c r="BC75" s="259"/>
      <c r="BD75" s="258"/>
      <c r="BE75" s="260"/>
      <c r="BF75" s="259"/>
      <c r="BG75" s="258"/>
      <c r="BH75" s="260"/>
      <c r="BI75" s="259"/>
      <c r="BJ75" s="258"/>
      <c r="BK75" s="252"/>
      <c r="BL75" s="257"/>
      <c r="BN75" s="259"/>
      <c r="BO75" s="258"/>
      <c r="BP75" s="260"/>
      <c r="BQ75" s="259"/>
      <c r="BR75" s="258"/>
      <c r="BS75" s="260"/>
      <c r="BT75" s="259"/>
      <c r="BU75" s="258"/>
      <c r="BV75" s="260"/>
      <c r="BW75" s="259"/>
      <c r="BX75" s="258"/>
      <c r="BY75" s="252"/>
      <c r="BZ75" s="257"/>
      <c r="CB75" s="259"/>
      <c r="CC75" s="258"/>
      <c r="CD75" s="260"/>
      <c r="CE75" s="259"/>
      <c r="CF75" s="258"/>
      <c r="CG75" s="260"/>
      <c r="CH75" s="259"/>
      <c r="CI75" s="258"/>
      <c r="CJ75" s="260"/>
      <c r="CK75" s="259"/>
      <c r="CL75" s="258"/>
      <c r="CM75" s="252"/>
      <c r="CN75" s="257"/>
    </row>
    <row r="76" spans="2:92" ht="43.5" thickBot="1" x14ac:dyDescent="0.25">
      <c r="B76" s="1345"/>
      <c r="C76" s="1231"/>
      <c r="D76" s="1215"/>
      <c r="E76" s="1303"/>
      <c r="F76" s="1304"/>
      <c r="G76" s="335" t="str">
        <f>+'Plan de Accion apoyo transversa'!X65</f>
        <v>Jornada de divulgación del Plan de Emergencias realizada</v>
      </c>
      <c r="H76" s="1219"/>
      <c r="J76" s="1247"/>
      <c r="K76" s="1198"/>
      <c r="L76" s="1198"/>
      <c r="M76" s="1198"/>
      <c r="N76" s="1198"/>
      <c r="O76" s="1198"/>
      <c r="P76" s="229"/>
      <c r="Q76" s="1247"/>
      <c r="R76" s="1250"/>
      <c r="S76" s="1250"/>
      <c r="T76" s="1250"/>
      <c r="U76" s="1250"/>
      <c r="V76" s="1281"/>
      <c r="W76" s="229"/>
      <c r="X76" s="1247"/>
      <c r="Y76" s="1250"/>
      <c r="Z76" s="1250"/>
      <c r="AA76" s="1296"/>
      <c r="AB76" s="1296"/>
      <c r="AC76" s="1297"/>
      <c r="AD76" s="229"/>
      <c r="AE76" s="1247"/>
      <c r="AF76" s="1250"/>
      <c r="AG76" s="1250"/>
      <c r="AH76" s="1250"/>
      <c r="AI76" s="1281"/>
      <c r="AJ76" s="261"/>
      <c r="AK76" s="253"/>
      <c r="AL76" s="259"/>
      <c r="AM76" s="258"/>
      <c r="AN76" s="260"/>
      <c r="AO76" s="259"/>
      <c r="AP76" s="258"/>
      <c r="AQ76" s="260"/>
      <c r="AR76" s="259"/>
      <c r="AS76" s="258"/>
      <c r="AT76" s="260"/>
      <c r="AU76" s="259"/>
      <c r="AV76" s="258"/>
      <c r="AW76" s="252"/>
      <c r="AX76" s="257"/>
      <c r="AY76" s="252"/>
      <c r="AZ76" s="259"/>
      <c r="BA76" s="258"/>
      <c r="BB76" s="260"/>
      <c r="BC76" s="259"/>
      <c r="BD76" s="258"/>
      <c r="BE76" s="260"/>
      <c r="BF76" s="259"/>
      <c r="BG76" s="258"/>
      <c r="BH76" s="260"/>
      <c r="BI76" s="259"/>
      <c r="BJ76" s="258"/>
      <c r="BK76" s="252"/>
      <c r="BL76" s="257"/>
      <c r="BN76" s="259"/>
      <c r="BO76" s="258"/>
      <c r="BP76" s="260"/>
      <c r="BQ76" s="259"/>
      <c r="BR76" s="258"/>
      <c r="BS76" s="260"/>
      <c r="BT76" s="259"/>
      <c r="BU76" s="258"/>
      <c r="BV76" s="260"/>
      <c r="BW76" s="259"/>
      <c r="BX76" s="258"/>
      <c r="BY76" s="252"/>
      <c r="BZ76" s="257"/>
      <c r="CB76" s="259"/>
      <c r="CC76" s="258"/>
      <c r="CD76" s="260"/>
      <c r="CE76" s="259"/>
      <c r="CF76" s="258"/>
      <c r="CG76" s="260"/>
      <c r="CH76" s="259"/>
      <c r="CI76" s="258"/>
      <c r="CJ76" s="260"/>
      <c r="CK76" s="259"/>
      <c r="CL76" s="258"/>
      <c r="CM76" s="252"/>
      <c r="CN76" s="257"/>
    </row>
    <row r="77" spans="2:92" ht="43.5" thickBot="1" x14ac:dyDescent="0.25">
      <c r="B77" s="1345"/>
      <c r="C77" s="1231"/>
      <c r="D77" s="1215"/>
      <c r="E77" s="1303"/>
      <c r="F77" s="1304"/>
      <c r="G77" s="335" t="str">
        <f>+'Plan de Accion apoyo transversa'!X66</f>
        <v>Jornada de divulgación  del programa de inspecciones  realizada</v>
      </c>
      <c r="H77" s="1219"/>
      <c r="J77" s="1247"/>
      <c r="K77" s="1198"/>
      <c r="L77" s="1198"/>
      <c r="M77" s="1198"/>
      <c r="N77" s="1198"/>
      <c r="O77" s="1198"/>
      <c r="P77" s="229"/>
      <c r="Q77" s="1247"/>
      <c r="R77" s="1250"/>
      <c r="S77" s="1250"/>
      <c r="T77" s="1250"/>
      <c r="U77" s="1250"/>
      <c r="V77" s="1281"/>
      <c r="W77" s="229"/>
      <c r="X77" s="1247"/>
      <c r="Y77" s="1250"/>
      <c r="Z77" s="1250"/>
      <c r="AA77" s="1296"/>
      <c r="AB77" s="1296"/>
      <c r="AC77" s="1297"/>
      <c r="AD77" s="229"/>
      <c r="AE77" s="1247"/>
      <c r="AF77" s="1250"/>
      <c r="AG77" s="1250"/>
      <c r="AH77" s="1250"/>
      <c r="AI77" s="1281"/>
      <c r="AJ77" s="261"/>
      <c r="AK77" s="253"/>
      <c r="AL77" s="259"/>
      <c r="AM77" s="258"/>
      <c r="AN77" s="260"/>
      <c r="AO77" s="259"/>
      <c r="AP77" s="258"/>
      <c r="AQ77" s="260"/>
      <c r="AR77" s="259"/>
      <c r="AS77" s="258"/>
      <c r="AT77" s="260"/>
      <c r="AU77" s="259"/>
      <c r="AV77" s="258"/>
      <c r="AW77" s="252"/>
      <c r="AX77" s="257"/>
      <c r="AY77" s="252"/>
      <c r="AZ77" s="259"/>
      <c r="BA77" s="258"/>
      <c r="BB77" s="260"/>
      <c r="BC77" s="259"/>
      <c r="BD77" s="258"/>
      <c r="BE77" s="260"/>
      <c r="BF77" s="259"/>
      <c r="BG77" s="258"/>
      <c r="BH77" s="260"/>
      <c r="BI77" s="259"/>
      <c r="BJ77" s="258"/>
      <c r="BK77" s="252"/>
      <c r="BL77" s="257"/>
      <c r="BN77" s="259"/>
      <c r="BO77" s="258"/>
      <c r="BP77" s="260"/>
      <c r="BQ77" s="259"/>
      <c r="BR77" s="258"/>
      <c r="BS77" s="260"/>
      <c r="BT77" s="259"/>
      <c r="BU77" s="258"/>
      <c r="BV77" s="260"/>
      <c r="BW77" s="259"/>
      <c r="BX77" s="258"/>
      <c r="BY77" s="252"/>
      <c r="BZ77" s="257"/>
      <c r="CB77" s="259"/>
      <c r="CC77" s="258"/>
      <c r="CD77" s="260"/>
      <c r="CE77" s="259"/>
      <c r="CF77" s="258"/>
      <c r="CG77" s="260"/>
      <c r="CH77" s="259"/>
      <c r="CI77" s="258"/>
      <c r="CJ77" s="260"/>
      <c r="CK77" s="259"/>
      <c r="CL77" s="258"/>
      <c r="CM77" s="252"/>
      <c r="CN77" s="257"/>
    </row>
    <row r="78" spans="2:92" ht="43.5" thickBot="1" x14ac:dyDescent="0.25">
      <c r="B78" s="1345"/>
      <c r="C78" s="1231"/>
      <c r="D78" s="1215"/>
      <c r="E78" s="1303"/>
      <c r="F78" s="1304"/>
      <c r="G78" s="335" t="str">
        <f>+'Plan de Accion apoyo transversa'!X67</f>
        <v>Jornada de divulgación del programa de mantenimiento realizada</v>
      </c>
      <c r="H78" s="1219"/>
      <c r="J78" s="1247"/>
      <c r="K78" s="1198"/>
      <c r="L78" s="1198"/>
      <c r="M78" s="1198"/>
      <c r="N78" s="1198"/>
      <c r="O78" s="1198"/>
      <c r="P78" s="229"/>
      <c r="Q78" s="1247"/>
      <c r="R78" s="1250"/>
      <c r="S78" s="1250"/>
      <c r="T78" s="1250"/>
      <c r="U78" s="1250"/>
      <c r="V78" s="1281"/>
      <c r="W78" s="229"/>
      <c r="X78" s="1247"/>
      <c r="Y78" s="1250"/>
      <c r="Z78" s="1250"/>
      <c r="AA78" s="1296"/>
      <c r="AB78" s="1296"/>
      <c r="AC78" s="1297"/>
      <c r="AD78" s="229"/>
      <c r="AE78" s="1247"/>
      <c r="AF78" s="1250"/>
      <c r="AG78" s="1250"/>
      <c r="AH78" s="1250"/>
      <c r="AI78" s="1281"/>
      <c r="AJ78" s="261"/>
      <c r="AK78" s="253"/>
      <c r="AL78" s="259"/>
      <c r="AM78" s="258"/>
      <c r="AN78" s="260"/>
      <c r="AO78" s="259"/>
      <c r="AP78" s="258"/>
      <c r="AQ78" s="260"/>
      <c r="AR78" s="259"/>
      <c r="AS78" s="258"/>
      <c r="AT78" s="260"/>
      <c r="AU78" s="259"/>
      <c r="AV78" s="258"/>
      <c r="AW78" s="252"/>
      <c r="AX78" s="257"/>
      <c r="AY78" s="252"/>
      <c r="AZ78" s="259"/>
      <c r="BA78" s="258"/>
      <c r="BB78" s="260"/>
      <c r="BC78" s="259"/>
      <c r="BD78" s="258"/>
      <c r="BE78" s="260"/>
      <c r="BF78" s="259"/>
      <c r="BG78" s="258"/>
      <c r="BH78" s="260"/>
      <c r="BI78" s="259"/>
      <c r="BJ78" s="258"/>
      <c r="BK78" s="252"/>
      <c r="BL78" s="257"/>
      <c r="BN78" s="259"/>
      <c r="BO78" s="258"/>
      <c r="BP78" s="260"/>
      <c r="BQ78" s="259"/>
      <c r="BR78" s="258"/>
      <c r="BS78" s="260"/>
      <c r="BT78" s="259"/>
      <c r="BU78" s="258"/>
      <c r="BV78" s="260"/>
      <c r="BW78" s="259"/>
      <c r="BX78" s="258"/>
      <c r="BY78" s="252"/>
      <c r="BZ78" s="257"/>
      <c r="CB78" s="259"/>
      <c r="CC78" s="258"/>
      <c r="CD78" s="260"/>
      <c r="CE78" s="259"/>
      <c r="CF78" s="258"/>
      <c r="CG78" s="260"/>
      <c r="CH78" s="259"/>
      <c r="CI78" s="258"/>
      <c r="CJ78" s="260"/>
      <c r="CK78" s="259"/>
      <c r="CL78" s="258"/>
      <c r="CM78" s="252"/>
      <c r="CN78" s="257"/>
    </row>
    <row r="79" spans="2:92" ht="29.25" thickBot="1" x14ac:dyDescent="0.25">
      <c r="B79" s="1345"/>
      <c r="C79" s="1231"/>
      <c r="D79" s="1215"/>
      <c r="E79" s="1303"/>
      <c r="F79" s="1304"/>
      <c r="G79" s="335" t="str">
        <f>+'Plan de Accion apoyo transversa'!X68</f>
        <v>Informes de resultado de la investigación</v>
      </c>
      <c r="H79" s="1219"/>
      <c r="J79" s="1247"/>
      <c r="K79" s="1198"/>
      <c r="L79" s="1198"/>
      <c r="M79" s="1198"/>
      <c r="N79" s="1198"/>
      <c r="O79" s="1198"/>
      <c r="P79" s="229"/>
      <c r="Q79" s="1247"/>
      <c r="R79" s="1250"/>
      <c r="S79" s="1250"/>
      <c r="T79" s="1250"/>
      <c r="U79" s="1250"/>
      <c r="V79" s="1281"/>
      <c r="W79" s="229"/>
      <c r="X79" s="1247"/>
      <c r="Y79" s="1250"/>
      <c r="Z79" s="1250"/>
      <c r="AA79" s="1296"/>
      <c r="AB79" s="1296"/>
      <c r="AC79" s="1297"/>
      <c r="AD79" s="229"/>
      <c r="AE79" s="1247"/>
      <c r="AF79" s="1250"/>
      <c r="AG79" s="1250"/>
      <c r="AH79" s="1250"/>
      <c r="AI79" s="1281"/>
      <c r="AJ79" s="261"/>
      <c r="AK79" s="253"/>
      <c r="AL79" s="259"/>
      <c r="AM79" s="258"/>
      <c r="AN79" s="260"/>
      <c r="AO79" s="259"/>
      <c r="AP79" s="258"/>
      <c r="AQ79" s="260"/>
      <c r="AR79" s="259"/>
      <c r="AS79" s="258"/>
      <c r="AT79" s="260"/>
      <c r="AU79" s="259"/>
      <c r="AV79" s="258"/>
      <c r="AW79" s="252"/>
      <c r="AX79" s="257"/>
      <c r="AY79" s="252"/>
      <c r="AZ79" s="259"/>
      <c r="BA79" s="258"/>
      <c r="BB79" s="260"/>
      <c r="BC79" s="259"/>
      <c r="BD79" s="258"/>
      <c r="BE79" s="260"/>
      <c r="BF79" s="259"/>
      <c r="BG79" s="258"/>
      <c r="BH79" s="260"/>
      <c r="BI79" s="259"/>
      <c r="BJ79" s="258"/>
      <c r="BK79" s="252"/>
      <c r="BL79" s="257"/>
      <c r="BN79" s="259"/>
      <c r="BO79" s="258"/>
      <c r="BP79" s="260"/>
      <c r="BQ79" s="259"/>
      <c r="BR79" s="258"/>
      <c r="BS79" s="260"/>
      <c r="BT79" s="259"/>
      <c r="BU79" s="258"/>
      <c r="BV79" s="260"/>
      <c r="BW79" s="259"/>
      <c r="BX79" s="258"/>
      <c r="BY79" s="252"/>
      <c r="BZ79" s="257"/>
      <c r="CB79" s="259"/>
      <c r="CC79" s="258"/>
      <c r="CD79" s="260"/>
      <c r="CE79" s="259"/>
      <c r="CF79" s="258"/>
      <c r="CG79" s="260"/>
      <c r="CH79" s="259"/>
      <c r="CI79" s="258"/>
      <c r="CJ79" s="260"/>
      <c r="CK79" s="259"/>
      <c r="CL79" s="258"/>
      <c r="CM79" s="252"/>
      <c r="CN79" s="257"/>
    </row>
    <row r="80" spans="2:92" ht="86.25" thickBot="1" x14ac:dyDescent="0.25">
      <c r="B80" s="1345"/>
      <c r="C80" s="1231"/>
      <c r="D80" s="1215"/>
      <c r="E80" s="1303"/>
      <c r="F80" s="1304"/>
      <c r="G80" s="335" t="str">
        <f>+'Plan de Accion apoyo transversa'!X69</f>
        <v>Reuniones - Inspecciones - Acompañamiento y seguimiento en el desarrollo del Comité paritario de seguridad y Salud en el trabajo</v>
      </c>
      <c r="H80" s="1219"/>
      <c r="J80" s="1247"/>
      <c r="K80" s="1198"/>
      <c r="L80" s="1198"/>
      <c r="M80" s="1198"/>
      <c r="N80" s="1198"/>
      <c r="O80" s="1198"/>
      <c r="P80" s="229"/>
      <c r="Q80" s="1247"/>
      <c r="R80" s="1250"/>
      <c r="S80" s="1250"/>
      <c r="T80" s="1250"/>
      <c r="U80" s="1250"/>
      <c r="V80" s="1281"/>
      <c r="W80" s="229"/>
      <c r="X80" s="1247"/>
      <c r="Y80" s="1250"/>
      <c r="Z80" s="1250"/>
      <c r="AA80" s="1296"/>
      <c r="AB80" s="1296"/>
      <c r="AC80" s="1297"/>
      <c r="AD80" s="229"/>
      <c r="AE80" s="1247"/>
      <c r="AF80" s="1250"/>
      <c r="AG80" s="1250"/>
      <c r="AH80" s="1250"/>
      <c r="AI80" s="1281"/>
      <c r="AJ80" s="261"/>
      <c r="AK80" s="253"/>
      <c r="AL80" s="259"/>
      <c r="AM80" s="258"/>
      <c r="AN80" s="260"/>
      <c r="AO80" s="259"/>
      <c r="AP80" s="258"/>
      <c r="AQ80" s="260"/>
      <c r="AR80" s="259"/>
      <c r="AS80" s="258"/>
      <c r="AT80" s="260"/>
      <c r="AU80" s="259"/>
      <c r="AV80" s="258"/>
      <c r="AW80" s="252"/>
      <c r="AX80" s="257"/>
      <c r="AY80" s="252"/>
      <c r="AZ80" s="259"/>
      <c r="BA80" s="258"/>
      <c r="BB80" s="260"/>
      <c r="BC80" s="259"/>
      <c r="BD80" s="258"/>
      <c r="BE80" s="260"/>
      <c r="BF80" s="259"/>
      <c r="BG80" s="258"/>
      <c r="BH80" s="260"/>
      <c r="BI80" s="259"/>
      <c r="BJ80" s="258"/>
      <c r="BK80" s="252"/>
      <c r="BL80" s="257"/>
      <c r="BN80" s="259"/>
      <c r="BO80" s="258"/>
      <c r="BP80" s="260"/>
      <c r="BQ80" s="259"/>
      <c r="BR80" s="258"/>
      <c r="BS80" s="260"/>
      <c r="BT80" s="259"/>
      <c r="BU80" s="258"/>
      <c r="BV80" s="260"/>
      <c r="BW80" s="259"/>
      <c r="BX80" s="258"/>
      <c r="BY80" s="252"/>
      <c r="BZ80" s="257"/>
      <c r="CB80" s="259"/>
      <c r="CC80" s="258"/>
      <c r="CD80" s="260"/>
      <c r="CE80" s="259"/>
      <c r="CF80" s="258"/>
      <c r="CG80" s="260"/>
      <c r="CH80" s="259"/>
      <c r="CI80" s="258"/>
      <c r="CJ80" s="260"/>
      <c r="CK80" s="259"/>
      <c r="CL80" s="258"/>
      <c r="CM80" s="252"/>
      <c r="CN80" s="257"/>
    </row>
    <row r="81" spans="2:92" ht="36.75" customHeight="1" thickBot="1" x14ac:dyDescent="0.25">
      <c r="B81" s="1345"/>
      <c r="C81" s="1231"/>
      <c r="D81" s="1215"/>
      <c r="E81" s="1303"/>
      <c r="F81" s="1304"/>
      <c r="G81" s="335" t="str">
        <f>+'Plan de Accion apoyo transversa'!X70</f>
        <v>Informe de la evaluación de cumplimiento del SG-SST de proveedores y contratistas "de personería jurídica"</v>
      </c>
      <c r="H81" s="1219"/>
      <c r="J81" s="1247"/>
      <c r="K81" s="1198"/>
      <c r="L81" s="1198"/>
      <c r="M81" s="1198"/>
      <c r="N81" s="1198"/>
      <c r="O81" s="1198"/>
      <c r="P81" s="229"/>
      <c r="Q81" s="1247"/>
      <c r="R81" s="1250"/>
      <c r="S81" s="1250"/>
      <c r="T81" s="1250"/>
      <c r="U81" s="1250"/>
      <c r="V81" s="1281"/>
      <c r="W81" s="229"/>
      <c r="X81" s="1247"/>
      <c r="Y81" s="1250"/>
      <c r="Z81" s="1250"/>
      <c r="AA81" s="1296"/>
      <c r="AB81" s="1296"/>
      <c r="AC81" s="1297"/>
      <c r="AD81" s="229"/>
      <c r="AE81" s="1247"/>
      <c r="AF81" s="1250"/>
      <c r="AG81" s="1250"/>
      <c r="AH81" s="1250"/>
      <c r="AI81" s="1281"/>
      <c r="AJ81" s="261"/>
      <c r="AK81" s="253"/>
      <c r="AL81" s="259"/>
      <c r="AM81" s="258"/>
      <c r="AN81" s="260"/>
      <c r="AO81" s="259"/>
      <c r="AP81" s="258"/>
      <c r="AQ81" s="260"/>
      <c r="AR81" s="259"/>
      <c r="AS81" s="258"/>
      <c r="AT81" s="260"/>
      <c r="AU81" s="259"/>
      <c r="AV81" s="258"/>
      <c r="AW81" s="252"/>
      <c r="AX81" s="257"/>
      <c r="AY81" s="252"/>
      <c r="AZ81" s="259"/>
      <c r="BA81" s="258"/>
      <c r="BB81" s="260"/>
      <c r="BC81" s="259"/>
      <c r="BD81" s="258"/>
      <c r="BE81" s="260"/>
      <c r="BF81" s="259"/>
      <c r="BG81" s="258"/>
      <c r="BH81" s="260"/>
      <c r="BI81" s="259"/>
      <c r="BJ81" s="258"/>
      <c r="BK81" s="252"/>
      <c r="BL81" s="257"/>
      <c r="BN81" s="259"/>
      <c r="BO81" s="258"/>
      <c r="BP81" s="260"/>
      <c r="BQ81" s="259"/>
      <c r="BR81" s="258"/>
      <c r="BS81" s="260"/>
      <c r="BT81" s="259"/>
      <c r="BU81" s="258"/>
      <c r="BV81" s="260"/>
      <c r="BW81" s="259"/>
      <c r="BX81" s="258"/>
      <c r="BY81" s="252"/>
      <c r="BZ81" s="257"/>
      <c r="CB81" s="259"/>
      <c r="CC81" s="258"/>
      <c r="CD81" s="260"/>
      <c r="CE81" s="259"/>
      <c r="CF81" s="258"/>
      <c r="CG81" s="260"/>
      <c r="CH81" s="259"/>
      <c r="CI81" s="258"/>
      <c r="CJ81" s="260"/>
      <c r="CK81" s="259"/>
      <c r="CL81" s="258"/>
      <c r="CM81" s="252"/>
      <c r="CN81" s="257"/>
    </row>
    <row r="82" spans="2:92" ht="29.25" thickBot="1" x14ac:dyDescent="0.25">
      <c r="B82" s="1345"/>
      <c r="C82" s="1231"/>
      <c r="D82" s="1215"/>
      <c r="E82" s="1303"/>
      <c r="F82" s="1304"/>
      <c r="G82" s="335" t="str">
        <f>+'Plan de Accion apoyo transversa'!X71</f>
        <v>Informe de la auditoria interna del SG-SST</v>
      </c>
      <c r="H82" s="1219"/>
      <c r="J82" s="1247"/>
      <c r="K82" s="1198"/>
      <c r="L82" s="1198"/>
      <c r="M82" s="1198"/>
      <c r="N82" s="1198"/>
      <c r="O82" s="1198"/>
      <c r="P82" s="229"/>
      <c r="Q82" s="1247"/>
      <c r="R82" s="1250"/>
      <c r="S82" s="1250"/>
      <c r="T82" s="1250"/>
      <c r="U82" s="1250"/>
      <c r="V82" s="1281"/>
      <c r="W82" s="229"/>
      <c r="X82" s="1247"/>
      <c r="Y82" s="1250"/>
      <c r="Z82" s="1250"/>
      <c r="AA82" s="1296"/>
      <c r="AB82" s="1296"/>
      <c r="AC82" s="1297"/>
      <c r="AD82" s="229"/>
      <c r="AE82" s="1247"/>
      <c r="AF82" s="1250"/>
      <c r="AG82" s="1250"/>
      <c r="AH82" s="1250"/>
      <c r="AI82" s="1281"/>
      <c r="AJ82" s="261"/>
      <c r="AK82" s="253"/>
      <c r="AL82" s="259"/>
      <c r="AM82" s="258"/>
      <c r="AN82" s="260"/>
      <c r="AO82" s="259"/>
      <c r="AP82" s="258"/>
      <c r="AQ82" s="260"/>
      <c r="AR82" s="259"/>
      <c r="AS82" s="258"/>
      <c r="AT82" s="260"/>
      <c r="AU82" s="259"/>
      <c r="AV82" s="258"/>
      <c r="AW82" s="252"/>
      <c r="AX82" s="257"/>
      <c r="AY82" s="252"/>
      <c r="AZ82" s="259"/>
      <c r="BA82" s="258"/>
      <c r="BB82" s="260"/>
      <c r="BC82" s="259"/>
      <c r="BD82" s="258"/>
      <c r="BE82" s="260"/>
      <c r="BF82" s="259"/>
      <c r="BG82" s="258"/>
      <c r="BH82" s="260"/>
      <c r="BI82" s="259"/>
      <c r="BJ82" s="258"/>
      <c r="BK82" s="252"/>
      <c r="BL82" s="257"/>
      <c r="BN82" s="259"/>
      <c r="BO82" s="258"/>
      <c r="BP82" s="260"/>
      <c r="BQ82" s="259"/>
      <c r="BR82" s="258"/>
      <c r="BS82" s="260"/>
      <c r="BT82" s="259"/>
      <c r="BU82" s="258"/>
      <c r="BV82" s="260"/>
      <c r="BW82" s="259"/>
      <c r="BX82" s="258"/>
      <c r="BY82" s="252"/>
      <c r="BZ82" s="257"/>
      <c r="CB82" s="259"/>
      <c r="CC82" s="258"/>
      <c r="CD82" s="260"/>
      <c r="CE82" s="259"/>
      <c r="CF82" s="258"/>
      <c r="CG82" s="260"/>
      <c r="CH82" s="259"/>
      <c r="CI82" s="258"/>
      <c r="CJ82" s="260"/>
      <c r="CK82" s="259"/>
      <c r="CL82" s="258"/>
      <c r="CM82" s="252"/>
      <c r="CN82" s="257"/>
    </row>
    <row r="83" spans="2:92" ht="57.75" thickBot="1" x14ac:dyDescent="0.25">
      <c r="B83" s="1345"/>
      <c r="C83" s="1231"/>
      <c r="D83" s="1215"/>
      <c r="E83" s="1303"/>
      <c r="F83" s="1304"/>
      <c r="G83" s="335" t="str">
        <f>+'Plan de Accion apoyo transversa'!X72</f>
        <v>Plan de acción de los hallazgos generados por auditoria interna o entes de control.</v>
      </c>
      <c r="H83" s="1219"/>
      <c r="J83" s="1248"/>
      <c r="K83" s="1199"/>
      <c r="L83" s="1199"/>
      <c r="M83" s="1199"/>
      <c r="N83" s="1199"/>
      <c r="O83" s="1199"/>
      <c r="P83" s="229"/>
      <c r="Q83" s="1248"/>
      <c r="R83" s="1251"/>
      <c r="S83" s="1251"/>
      <c r="T83" s="1251"/>
      <c r="U83" s="1251"/>
      <c r="V83" s="1253"/>
      <c r="W83" s="229"/>
      <c r="X83" s="1248"/>
      <c r="Y83" s="1251"/>
      <c r="Z83" s="1251"/>
      <c r="AA83" s="1255"/>
      <c r="AB83" s="1255"/>
      <c r="AC83" s="1245"/>
      <c r="AD83" s="229"/>
      <c r="AE83" s="1248"/>
      <c r="AF83" s="1251"/>
      <c r="AG83" s="1251"/>
      <c r="AH83" s="1251"/>
      <c r="AI83" s="1253"/>
      <c r="AJ83" s="261"/>
      <c r="AK83" s="253"/>
      <c r="AL83" s="259"/>
      <c r="AM83" s="258"/>
      <c r="AN83" s="260"/>
      <c r="AO83" s="259"/>
      <c r="AP83" s="258"/>
      <c r="AQ83" s="260"/>
      <c r="AR83" s="259"/>
      <c r="AS83" s="258"/>
      <c r="AT83" s="260"/>
      <c r="AU83" s="259"/>
      <c r="AV83" s="258"/>
      <c r="AW83" s="252"/>
      <c r="AX83" s="257"/>
      <c r="AY83" s="252"/>
      <c r="AZ83" s="259"/>
      <c r="BA83" s="258"/>
      <c r="BB83" s="260"/>
      <c r="BC83" s="259"/>
      <c r="BD83" s="258"/>
      <c r="BE83" s="260"/>
      <c r="BF83" s="259"/>
      <c r="BG83" s="258"/>
      <c r="BH83" s="260"/>
      <c r="BI83" s="259"/>
      <c r="BJ83" s="258"/>
      <c r="BK83" s="252"/>
      <c r="BL83" s="257"/>
      <c r="BN83" s="259"/>
      <c r="BO83" s="258"/>
      <c r="BP83" s="260"/>
      <c r="BQ83" s="259"/>
      <c r="BR83" s="258"/>
      <c r="BS83" s="260"/>
      <c r="BT83" s="259"/>
      <c r="BU83" s="258"/>
      <c r="BV83" s="260"/>
      <c r="BW83" s="259"/>
      <c r="BX83" s="258"/>
      <c r="BY83" s="252"/>
      <c r="BZ83" s="257"/>
      <c r="CB83" s="259"/>
      <c r="CC83" s="258"/>
      <c r="CD83" s="260"/>
      <c r="CE83" s="259"/>
      <c r="CF83" s="258"/>
      <c r="CG83" s="260"/>
      <c r="CH83" s="259"/>
      <c r="CI83" s="258"/>
      <c r="CJ83" s="260"/>
      <c r="CK83" s="259"/>
      <c r="CL83" s="258"/>
      <c r="CM83" s="252"/>
      <c r="CN83" s="257"/>
    </row>
    <row r="84" spans="2:92" ht="20.25" thickBot="1" x14ac:dyDescent="0.25">
      <c r="B84" s="1345"/>
      <c r="C84" s="1231"/>
      <c r="D84" s="1215"/>
      <c r="E84" s="1303"/>
      <c r="F84" s="1304"/>
      <c r="G84" s="335" t="str">
        <f>+'Plan de Accion apoyo transversa'!X73</f>
        <v>Profesiograma elaborado</v>
      </c>
      <c r="H84" s="1219"/>
      <c r="J84" s="230" t="e">
        <f>+'Plan de Accion apoyo transversa'!AW73</f>
        <v>#DIV/0!</v>
      </c>
      <c r="K84" s="503" t="str">
        <f>+'Plan de Accion apoyo transversa'!CF73</f>
        <v>No Prog ni Ejec</v>
      </c>
      <c r="L84" s="503" t="s">
        <v>204</v>
      </c>
      <c r="M84" s="503">
        <f>+'Plan de Accion apoyo transversa'!AY73</f>
        <v>0</v>
      </c>
      <c r="N84" s="503">
        <f>IF(M84&gt;100%,100%,M84)</f>
        <v>0</v>
      </c>
      <c r="O84" s="503" t="s">
        <v>204</v>
      </c>
      <c r="P84" s="229"/>
      <c r="Q84" s="230" t="s">
        <v>204</v>
      </c>
      <c r="R84" s="266" t="str">
        <f>+'Plan de Accion apoyo transversa'!CH73</f>
        <v>No Prog ni Ejec</v>
      </c>
      <c r="S84" s="228" t="s">
        <v>204</v>
      </c>
      <c r="T84" s="324" t="s">
        <v>204</v>
      </c>
      <c r="U84" s="324" t="s">
        <v>204</v>
      </c>
      <c r="V84" s="227" t="s">
        <v>204</v>
      </c>
      <c r="W84" s="229"/>
      <c r="X84" s="230" t="s">
        <v>204</v>
      </c>
      <c r="Y84" s="266" t="str">
        <f>+'Plan de Accion apoyo transversa'!CJ73</f>
        <v>No Prog ni Ejec</v>
      </c>
      <c r="Z84" s="228" t="s">
        <v>204</v>
      </c>
      <c r="AA84" s="233" t="s">
        <v>204</v>
      </c>
      <c r="AB84" s="233" t="s">
        <v>204</v>
      </c>
      <c r="AC84" s="322" t="s">
        <v>204</v>
      </c>
      <c r="AD84" s="229"/>
      <c r="AE84" s="230" t="s">
        <v>204</v>
      </c>
      <c r="AF84" s="266" t="s">
        <v>180</v>
      </c>
      <c r="AG84" s="228" t="s">
        <v>204</v>
      </c>
      <c r="AH84" s="266" t="s">
        <v>204</v>
      </c>
      <c r="AI84" s="227" t="s">
        <v>204</v>
      </c>
      <c r="AJ84" s="261"/>
      <c r="AK84" s="253"/>
      <c r="AL84" s="259"/>
      <c r="AM84" s="258"/>
      <c r="AN84" s="260"/>
      <c r="AO84" s="259"/>
      <c r="AP84" s="258"/>
      <c r="AQ84" s="260"/>
      <c r="AR84" s="259"/>
      <c r="AS84" s="258"/>
      <c r="AT84" s="260"/>
      <c r="AU84" s="259"/>
      <c r="AV84" s="258"/>
      <c r="AW84" s="252"/>
      <c r="AX84" s="257"/>
      <c r="AY84" s="252"/>
      <c r="AZ84" s="259"/>
      <c r="BA84" s="258"/>
      <c r="BB84" s="260"/>
      <c r="BC84" s="259"/>
      <c r="BD84" s="258"/>
      <c r="BE84" s="260"/>
      <c r="BF84" s="259"/>
      <c r="BG84" s="258"/>
      <c r="BH84" s="260"/>
      <c r="BI84" s="259"/>
      <c r="BJ84" s="258"/>
      <c r="BK84" s="252"/>
      <c r="BL84" s="257"/>
      <c r="BN84" s="259"/>
      <c r="BO84" s="258"/>
      <c r="BP84" s="260"/>
      <c r="BQ84" s="259"/>
      <c r="BR84" s="258"/>
      <c r="BS84" s="260"/>
      <c r="BT84" s="259"/>
      <c r="BU84" s="258"/>
      <c r="BV84" s="260"/>
      <c r="BW84" s="259"/>
      <c r="BX84" s="258"/>
      <c r="BY84" s="252"/>
      <c r="BZ84" s="257"/>
      <c r="CB84" s="259"/>
      <c r="CC84" s="258"/>
      <c r="CD84" s="260"/>
      <c r="CE84" s="259"/>
      <c r="CF84" s="258"/>
      <c r="CG84" s="260"/>
      <c r="CH84" s="259"/>
      <c r="CI84" s="258"/>
      <c r="CJ84" s="260"/>
      <c r="CK84" s="259"/>
      <c r="CL84" s="258"/>
      <c r="CM84" s="252"/>
      <c r="CN84" s="257"/>
    </row>
    <row r="85" spans="2:92" ht="72" thickBot="1" x14ac:dyDescent="0.25">
      <c r="B85" s="1345"/>
      <c r="C85" s="1231"/>
      <c r="D85" s="1215"/>
      <c r="E85" s="1303"/>
      <c r="F85" s="1304"/>
      <c r="G85" s="335" t="str">
        <f>+'Plan de Accion apoyo transversa'!X74</f>
        <v>Documento de estudios ambientales elaborado
Documento de estudios ergonómicos en salud ocupacional elaborado</v>
      </c>
      <c r="H85" s="1219"/>
      <c r="J85" s="230" t="e">
        <f>+'Plan de Accion apoyo transversa'!AW74</f>
        <v>#DIV/0!</v>
      </c>
      <c r="K85" s="503" t="str">
        <f>+'Plan de Accion apoyo transversa'!CF74</f>
        <v>No Prog ni Ejec</v>
      </c>
      <c r="L85" s="503" t="s">
        <v>204</v>
      </c>
      <c r="M85" s="503">
        <f>+'Plan de Accion apoyo transversa'!AY74</f>
        <v>0</v>
      </c>
      <c r="N85" s="503">
        <f t="shared" ref="N85:N141" si="49">IF(M85&gt;100%,100%,M85)</f>
        <v>0</v>
      </c>
      <c r="O85" s="503" t="s">
        <v>204</v>
      </c>
      <c r="P85" s="229"/>
      <c r="Q85" s="230" t="e">
        <f>+'Plan de Accion apoyo transversa'!BG74</f>
        <v>#DIV/0!</v>
      </c>
      <c r="R85" s="266" t="str">
        <f>+'Plan de Accion apoyo transversa'!CH74</f>
        <v>No Prog ni Ejec</v>
      </c>
      <c r="S85" s="228" t="s">
        <v>204</v>
      </c>
      <c r="T85" s="324">
        <f>+'Plan de Accion apoyo transversa'!BI74</f>
        <v>0</v>
      </c>
      <c r="U85" s="324">
        <f t="shared" ref="U85:U123" si="50">IF(T85&gt;100%,100%,T85)</f>
        <v>0</v>
      </c>
      <c r="V85" s="227" t="s">
        <v>204</v>
      </c>
      <c r="W85" s="229"/>
      <c r="X85" s="230">
        <f>+'Plan de Accion apoyo transversa'!BQ74</f>
        <v>0</v>
      </c>
      <c r="Y85" s="266">
        <f>+'Plan de Accion apoyo transversa'!CJ74</f>
        <v>0</v>
      </c>
      <c r="Z85" s="228">
        <f>IF(Y85&gt;100%,100%,Y85)</f>
        <v>0</v>
      </c>
      <c r="AA85" s="233">
        <f>+'Plan de Accion apoyo transversa'!BS74</f>
        <v>0</v>
      </c>
      <c r="AB85" s="233">
        <f t="shared" ref="AB85:AB123" si="51">IF(AA85&gt;100%,100%,AA85)</f>
        <v>0</v>
      </c>
      <c r="AC85" s="322">
        <f>+AB85</f>
        <v>0</v>
      </c>
      <c r="AD85" s="229"/>
      <c r="AE85" s="230" t="e">
        <f>+'Plan de Accion apoyo transversa'!CA74</f>
        <v>#DIV/0!</v>
      </c>
      <c r="AF85" s="266" t="str">
        <f>+'Plan de Accion apoyo transversa'!CL74</f>
        <v>No Prog ni Ejec</v>
      </c>
      <c r="AG85" s="228" t="s">
        <v>204</v>
      </c>
      <c r="AH85" s="266">
        <f>+'Plan de Accion apoyo transversa'!CC74</f>
        <v>0</v>
      </c>
      <c r="AI85" s="227">
        <f t="shared" ref="AI85:AI123" si="52">IF(AH85&gt;100%,100%,AH85)</f>
        <v>0</v>
      </c>
      <c r="AJ85" s="261"/>
      <c r="AK85" s="253"/>
      <c r="AL85" s="259"/>
      <c r="AM85" s="258"/>
      <c r="AN85" s="260"/>
      <c r="AO85" s="259"/>
      <c r="AP85" s="258"/>
      <c r="AQ85" s="260"/>
      <c r="AR85" s="259"/>
      <c r="AS85" s="258"/>
      <c r="AT85" s="260"/>
      <c r="AU85" s="259"/>
      <c r="AV85" s="258"/>
      <c r="AW85" s="252"/>
      <c r="AX85" s="257"/>
      <c r="AY85" s="252"/>
      <c r="AZ85" s="259"/>
      <c r="BA85" s="258"/>
      <c r="BB85" s="260"/>
      <c r="BC85" s="259"/>
      <c r="BD85" s="258"/>
      <c r="BE85" s="260"/>
      <c r="BF85" s="259"/>
      <c r="BG85" s="258"/>
      <c r="BH85" s="260"/>
      <c r="BI85" s="259"/>
      <c r="BJ85" s="258"/>
      <c r="BK85" s="252"/>
      <c r="BL85" s="257"/>
      <c r="BN85" s="259"/>
      <c r="BO85" s="258"/>
      <c r="BP85" s="260"/>
      <c r="BQ85" s="259"/>
      <c r="BR85" s="258"/>
      <c r="BS85" s="260"/>
      <c r="BT85" s="259"/>
      <c r="BU85" s="258"/>
      <c r="BV85" s="260"/>
      <c r="BW85" s="259"/>
      <c r="BX85" s="258"/>
      <c r="BY85" s="252"/>
      <c r="BZ85" s="257"/>
      <c r="CB85" s="259"/>
      <c r="CC85" s="258"/>
      <c r="CD85" s="260"/>
      <c r="CE85" s="259"/>
      <c r="CF85" s="258"/>
      <c r="CG85" s="260"/>
      <c r="CH85" s="259"/>
      <c r="CI85" s="258"/>
      <c r="CJ85" s="260"/>
      <c r="CK85" s="259"/>
      <c r="CL85" s="258"/>
      <c r="CM85" s="252"/>
      <c r="CN85" s="257"/>
    </row>
    <row r="86" spans="2:92" ht="29.25" customHeight="1" thickBot="1" x14ac:dyDescent="0.25">
      <c r="B86" s="1345"/>
      <c r="C86" s="1231"/>
      <c r="D86" s="1215"/>
      <c r="E86" s="1303"/>
      <c r="F86" s="1304"/>
      <c r="G86" s="335" t="str">
        <f>+'Plan de Accion apoyo transversa'!X75</f>
        <v>Elementos ergonómicos adquiridos</v>
      </c>
      <c r="H86" s="1219"/>
      <c r="J86" s="230" t="e">
        <f>+'Plan de Accion apoyo transversa'!AW75</f>
        <v>#DIV/0!</v>
      </c>
      <c r="K86" s="503" t="str">
        <f>+'Plan de Accion apoyo transversa'!CF75</f>
        <v>No Prog ni Ejec</v>
      </c>
      <c r="L86" s="503" t="s">
        <v>204</v>
      </c>
      <c r="M86" s="503">
        <f>+'Plan de Accion apoyo transversa'!AY75</f>
        <v>0</v>
      </c>
      <c r="N86" s="503">
        <f t="shared" si="49"/>
        <v>0</v>
      </c>
      <c r="O86" s="503" t="s">
        <v>204</v>
      </c>
      <c r="P86" s="229"/>
      <c r="Q86" s="230" t="e">
        <f>+'Plan de Accion apoyo transversa'!BG75</f>
        <v>#DIV/0!</v>
      </c>
      <c r="R86" s="266" t="str">
        <f>+'Plan de Accion apoyo transversa'!CH75</f>
        <v>No Prog ni Ejec</v>
      </c>
      <c r="S86" s="228" t="s">
        <v>204</v>
      </c>
      <c r="T86" s="324">
        <f>+'Plan de Accion apoyo transversa'!BI75</f>
        <v>0</v>
      </c>
      <c r="U86" s="324">
        <f t="shared" si="50"/>
        <v>0</v>
      </c>
      <c r="V86" s="227" t="s">
        <v>204</v>
      </c>
      <c r="W86" s="229"/>
      <c r="X86" s="230" t="e">
        <f>+'Plan de Accion apoyo transversa'!BQ75</f>
        <v>#DIV/0!</v>
      </c>
      <c r="Y86" s="266" t="str">
        <f>+'Plan de Accion apoyo transversa'!CJ75</f>
        <v>No Prog ni Ejec</v>
      </c>
      <c r="Z86" s="228" t="s">
        <v>204</v>
      </c>
      <c r="AA86" s="233">
        <f>+'Plan de Accion apoyo transversa'!BS75</f>
        <v>0</v>
      </c>
      <c r="AB86" s="233">
        <f t="shared" si="51"/>
        <v>0</v>
      </c>
      <c r="AC86" s="322" t="s">
        <v>204</v>
      </c>
      <c r="AD86" s="229"/>
      <c r="AE86" s="230">
        <f>+'Plan de Accion apoyo transversa'!CA75</f>
        <v>0</v>
      </c>
      <c r="AF86" s="266">
        <f>+'Plan de Accion apoyo transversa'!CL75</f>
        <v>0</v>
      </c>
      <c r="AG86" s="228">
        <f>IF(AF86&gt;100%,100%,AF86)</f>
        <v>0</v>
      </c>
      <c r="AH86" s="266">
        <f>+'Plan de Accion apoyo transversa'!CC75</f>
        <v>0</v>
      </c>
      <c r="AI86" s="227">
        <f t="shared" si="52"/>
        <v>0</v>
      </c>
      <c r="AJ86" s="261"/>
      <c r="AK86" s="253"/>
      <c r="AL86" s="259"/>
      <c r="AM86" s="258"/>
      <c r="AN86" s="260"/>
      <c r="AO86" s="259"/>
      <c r="AP86" s="258"/>
      <c r="AQ86" s="260"/>
      <c r="AR86" s="259"/>
      <c r="AS86" s="258"/>
      <c r="AT86" s="260"/>
      <c r="AU86" s="259"/>
      <c r="AV86" s="258"/>
      <c r="AW86" s="252"/>
      <c r="AX86" s="257"/>
      <c r="AY86" s="252"/>
      <c r="AZ86" s="259"/>
      <c r="BA86" s="258"/>
      <c r="BB86" s="260"/>
      <c r="BC86" s="259"/>
      <c r="BD86" s="258"/>
      <c r="BE86" s="260"/>
      <c r="BF86" s="259"/>
      <c r="BG86" s="258"/>
      <c r="BH86" s="260"/>
      <c r="BI86" s="259"/>
      <c r="BJ86" s="258"/>
      <c r="BK86" s="252"/>
      <c r="BL86" s="257"/>
      <c r="BN86" s="259"/>
      <c r="BO86" s="258"/>
      <c r="BP86" s="260"/>
      <c r="BQ86" s="259"/>
      <c r="BR86" s="258"/>
      <c r="BS86" s="260"/>
      <c r="BT86" s="259"/>
      <c r="BU86" s="258"/>
      <c r="BV86" s="260"/>
      <c r="BW86" s="259"/>
      <c r="BX86" s="258"/>
      <c r="BY86" s="252"/>
      <c r="BZ86" s="257"/>
      <c r="CB86" s="259"/>
      <c r="CC86" s="258"/>
      <c r="CD86" s="260"/>
      <c r="CE86" s="259"/>
      <c r="CF86" s="258"/>
      <c r="CG86" s="260"/>
      <c r="CH86" s="259"/>
      <c r="CI86" s="258"/>
      <c r="CJ86" s="260"/>
      <c r="CK86" s="259"/>
      <c r="CL86" s="258"/>
      <c r="CM86" s="252"/>
      <c r="CN86" s="257"/>
    </row>
    <row r="87" spans="2:92" ht="29.25" thickBot="1" x14ac:dyDescent="0.25">
      <c r="B87" s="1345"/>
      <c r="C87" s="1231"/>
      <c r="D87" s="1215"/>
      <c r="E87" s="1303"/>
      <c r="F87" s="1304" t="s">
        <v>502</v>
      </c>
      <c r="G87" s="335" t="str">
        <f>+'Plan de Accion apoyo transversa'!X76</f>
        <v>Capacitación de Sistema de Seguridad Social realizada</v>
      </c>
      <c r="H87" s="1219"/>
      <c r="J87" s="230" t="e">
        <f>+'Plan de Accion apoyo transversa'!AW76</f>
        <v>#DIV/0!</v>
      </c>
      <c r="K87" s="503" t="str">
        <f>+'Plan de Accion apoyo transversa'!CF76</f>
        <v>No Prog ni Ejec</v>
      </c>
      <c r="L87" s="503" t="s">
        <v>204</v>
      </c>
      <c r="M87" s="503" t="s">
        <v>204</v>
      </c>
      <c r="N87" s="503" t="s">
        <v>204</v>
      </c>
      <c r="O87" s="503" t="s">
        <v>204</v>
      </c>
      <c r="P87" s="229"/>
      <c r="Q87" s="230" t="s">
        <v>204</v>
      </c>
      <c r="R87" s="266" t="str">
        <f>+'Plan de Accion apoyo transversa'!CH76</f>
        <v>No Prog ni Ejec</v>
      </c>
      <c r="S87" s="228" t="s">
        <v>204</v>
      </c>
      <c r="T87" s="324" t="s">
        <v>204</v>
      </c>
      <c r="U87" s="324" t="s">
        <v>204</v>
      </c>
      <c r="V87" s="227" t="str">
        <f t="shared" ref="V87:V92" si="53">+U87</f>
        <v>N.A</v>
      </c>
      <c r="W87" s="229"/>
      <c r="X87" s="230" t="s">
        <v>204</v>
      </c>
      <c r="Y87" s="266" t="str">
        <f>+'Plan de Accion apoyo transversa'!CJ76</f>
        <v>No Prog ni Ejec</v>
      </c>
      <c r="Z87" s="228" t="s">
        <v>204</v>
      </c>
      <c r="AA87" s="233" t="s">
        <v>204</v>
      </c>
      <c r="AB87" s="233" t="s">
        <v>204</v>
      </c>
      <c r="AC87" s="322" t="str">
        <f>+AB87</f>
        <v>N.A</v>
      </c>
      <c r="AD87" s="229"/>
      <c r="AE87" s="230" t="s">
        <v>204</v>
      </c>
      <c r="AF87" s="266" t="str">
        <f>+'Plan de Accion apoyo transversa'!CL76</f>
        <v>No Prog ni Ejec</v>
      </c>
      <c r="AG87" s="228" t="s">
        <v>204</v>
      </c>
      <c r="AH87" s="266" t="s">
        <v>204</v>
      </c>
      <c r="AI87" s="227" t="s">
        <v>204</v>
      </c>
      <c r="AJ87" s="261"/>
      <c r="AK87" s="253"/>
      <c r="AL87" s="259"/>
      <c r="AM87" s="258"/>
      <c r="AN87" s="260"/>
      <c r="AO87" s="259"/>
      <c r="AP87" s="258"/>
      <c r="AQ87" s="260"/>
      <c r="AR87" s="259"/>
      <c r="AS87" s="258"/>
      <c r="AT87" s="260"/>
      <c r="AU87" s="259"/>
      <c r="AV87" s="258"/>
      <c r="AW87" s="252"/>
      <c r="AX87" s="257"/>
      <c r="AY87" s="252"/>
      <c r="AZ87" s="259"/>
      <c r="BA87" s="258"/>
      <c r="BB87" s="260"/>
      <c r="BC87" s="259"/>
      <c r="BD87" s="258"/>
      <c r="BE87" s="260"/>
      <c r="BF87" s="259"/>
      <c r="BG87" s="258"/>
      <c r="BH87" s="260"/>
      <c r="BI87" s="259"/>
      <c r="BJ87" s="258"/>
      <c r="BK87" s="252"/>
      <c r="BL87" s="257"/>
      <c r="BN87" s="259"/>
      <c r="BO87" s="258"/>
      <c r="BP87" s="260"/>
      <c r="BQ87" s="259"/>
      <c r="BR87" s="258"/>
      <c r="BS87" s="260"/>
      <c r="BT87" s="259"/>
      <c r="BU87" s="258"/>
      <c r="BV87" s="260"/>
      <c r="BW87" s="259"/>
      <c r="BX87" s="258"/>
      <c r="BY87" s="252"/>
      <c r="BZ87" s="257"/>
      <c r="CB87" s="259"/>
      <c r="CC87" s="258"/>
      <c r="CD87" s="260"/>
      <c r="CE87" s="259"/>
      <c r="CF87" s="258"/>
      <c r="CG87" s="260"/>
      <c r="CH87" s="259"/>
      <c r="CI87" s="258"/>
      <c r="CJ87" s="260"/>
      <c r="CK87" s="259"/>
      <c r="CL87" s="258"/>
      <c r="CM87" s="252"/>
      <c r="CN87" s="257"/>
    </row>
    <row r="88" spans="2:92" ht="57.75" thickBot="1" x14ac:dyDescent="0.25">
      <c r="B88" s="1345"/>
      <c r="C88" s="1231"/>
      <c r="D88" s="1215"/>
      <c r="E88" s="1303"/>
      <c r="F88" s="1304"/>
      <c r="G88" s="335" t="str">
        <f>+'Plan de Accion apoyo transversa'!X77</f>
        <v>Capacitación de Administración de personal sector publico y legislación laboral realizada</v>
      </c>
      <c r="H88" s="1219"/>
      <c r="J88" s="230" t="e">
        <f>+'Plan de Accion apoyo transversa'!AW77</f>
        <v>#DIV/0!</v>
      </c>
      <c r="K88" s="503" t="str">
        <f>+'Plan de Accion apoyo transversa'!CF77</f>
        <v>No Prog ni Ejec</v>
      </c>
      <c r="L88" s="503" t="s">
        <v>204</v>
      </c>
      <c r="M88" s="503" t="s">
        <v>204</v>
      </c>
      <c r="N88" s="503" t="s">
        <v>204</v>
      </c>
      <c r="O88" s="503" t="s">
        <v>204</v>
      </c>
      <c r="P88" s="229"/>
      <c r="Q88" s="230" t="s">
        <v>204</v>
      </c>
      <c r="R88" s="266" t="str">
        <f>+'Plan de Accion apoyo transversa'!CH77</f>
        <v>No Prog ni Ejec</v>
      </c>
      <c r="S88" s="228" t="s">
        <v>204</v>
      </c>
      <c r="T88" s="579" t="s">
        <v>204</v>
      </c>
      <c r="U88" s="579" t="s">
        <v>204</v>
      </c>
      <c r="V88" s="227" t="str">
        <f t="shared" si="53"/>
        <v>N.A</v>
      </c>
      <c r="W88" s="229"/>
      <c r="X88" s="230" t="s">
        <v>204</v>
      </c>
      <c r="Y88" s="266" t="str">
        <f>+'Plan de Accion apoyo transversa'!CJ77</f>
        <v>No Prog ni Ejec</v>
      </c>
      <c r="Z88" s="228" t="s">
        <v>204</v>
      </c>
      <c r="AA88" s="233" t="s">
        <v>204</v>
      </c>
      <c r="AB88" s="233" t="s">
        <v>204</v>
      </c>
      <c r="AC88" s="583" t="str">
        <f>+AB88</f>
        <v>N.A</v>
      </c>
      <c r="AD88" s="229"/>
      <c r="AE88" s="230" t="s">
        <v>204</v>
      </c>
      <c r="AF88" s="266" t="str">
        <f>+'Plan de Accion apoyo transversa'!CL77</f>
        <v>No Prog ni Ejec</v>
      </c>
      <c r="AG88" s="228" t="s">
        <v>204</v>
      </c>
      <c r="AH88" s="266" t="s">
        <v>204</v>
      </c>
      <c r="AI88" s="227" t="s">
        <v>204</v>
      </c>
      <c r="AJ88" s="261"/>
      <c r="AK88" s="253"/>
      <c r="AL88" s="259"/>
      <c r="AM88" s="258"/>
      <c r="AN88" s="260"/>
      <c r="AO88" s="259"/>
      <c r="AP88" s="258"/>
      <c r="AQ88" s="260"/>
      <c r="AR88" s="259"/>
      <c r="AS88" s="258"/>
      <c r="AT88" s="260"/>
      <c r="AU88" s="259"/>
      <c r="AV88" s="258"/>
      <c r="AW88" s="252"/>
      <c r="AX88" s="257"/>
      <c r="AY88" s="252"/>
      <c r="AZ88" s="259"/>
      <c r="BA88" s="258"/>
      <c r="BB88" s="260"/>
      <c r="BC88" s="259"/>
      <c r="BD88" s="258"/>
      <c r="BE88" s="260"/>
      <c r="BF88" s="259"/>
      <c r="BG88" s="258"/>
      <c r="BH88" s="260"/>
      <c r="BI88" s="259"/>
      <c r="BJ88" s="258"/>
      <c r="BK88" s="252"/>
      <c r="BL88" s="257"/>
      <c r="BN88" s="259"/>
      <c r="BO88" s="258"/>
      <c r="BP88" s="260"/>
      <c r="BQ88" s="259"/>
      <c r="BR88" s="258"/>
      <c r="BS88" s="260"/>
      <c r="BT88" s="259"/>
      <c r="BU88" s="258"/>
      <c r="BV88" s="260"/>
      <c r="BW88" s="259"/>
      <c r="BX88" s="258"/>
      <c r="BY88" s="252"/>
      <c r="BZ88" s="257"/>
      <c r="CB88" s="259"/>
      <c r="CC88" s="258"/>
      <c r="CD88" s="260"/>
      <c r="CE88" s="259"/>
      <c r="CF88" s="258"/>
      <c r="CG88" s="260"/>
      <c r="CH88" s="259"/>
      <c r="CI88" s="258"/>
      <c r="CJ88" s="260"/>
      <c r="CK88" s="259"/>
      <c r="CL88" s="258"/>
      <c r="CM88" s="252"/>
      <c r="CN88" s="257"/>
    </row>
    <row r="89" spans="2:92" ht="29.25" thickBot="1" x14ac:dyDescent="0.25">
      <c r="B89" s="1345"/>
      <c r="C89" s="1231"/>
      <c r="D89" s="1215"/>
      <c r="E89" s="1303"/>
      <c r="F89" s="1304"/>
      <c r="G89" s="335" t="str">
        <f>+'Plan de Accion apoyo transversa'!X80</f>
        <v>Capacitación de Big Data realizada</v>
      </c>
      <c r="H89" s="1219"/>
      <c r="J89" s="230" t="e">
        <f>+'Plan de Accion apoyo transversa'!AW80</f>
        <v>#DIV/0!</v>
      </c>
      <c r="K89" s="503" t="str">
        <f>+'Plan de Accion apoyo transversa'!CF80</f>
        <v>No Prog ni Ejec</v>
      </c>
      <c r="L89" s="503" t="s">
        <v>204</v>
      </c>
      <c r="M89" s="503">
        <f>+'Plan de Accion apoyo transversa'!AY80</f>
        <v>0</v>
      </c>
      <c r="N89" s="503">
        <f t="shared" si="49"/>
        <v>0</v>
      </c>
      <c r="O89" s="503" t="s">
        <v>204</v>
      </c>
      <c r="P89" s="229"/>
      <c r="Q89" s="230">
        <f>+'Plan de Accion apoyo transversa'!BG80</f>
        <v>1.1573154290429122</v>
      </c>
      <c r="R89" s="266">
        <f>+'Plan de Accion apoyo transversa'!CH80</f>
        <v>1.1573154290429122</v>
      </c>
      <c r="S89" s="228">
        <f>IF(R89&gt;100%,100%,R89)</f>
        <v>1</v>
      </c>
      <c r="T89" s="324">
        <f>+'Plan de Accion apoyo transversa'!BI80</f>
        <v>0.19288590484048537</v>
      </c>
      <c r="U89" s="324">
        <f t="shared" si="50"/>
        <v>0.19288590484048537</v>
      </c>
      <c r="V89" s="227">
        <f t="shared" si="53"/>
        <v>0.19288590484048537</v>
      </c>
      <c r="W89" s="229">
        <v>1</v>
      </c>
      <c r="X89" s="230">
        <f>+'Plan de Accion apoyo transversa'!BQ80</f>
        <v>0</v>
      </c>
      <c r="Y89" s="266">
        <f>+'Plan de Accion apoyo transversa'!CJ80</f>
        <v>0</v>
      </c>
      <c r="Z89" s="228">
        <f>IF(Y89&gt;100%,100%,Y89)</f>
        <v>0</v>
      </c>
      <c r="AA89" s="233">
        <f>+'Plan de Accion apoyo transversa'!BS80</f>
        <v>0.19288590484048537</v>
      </c>
      <c r="AB89" s="233">
        <f t="shared" si="51"/>
        <v>0.19288590484048537</v>
      </c>
      <c r="AC89" s="734">
        <f t="shared" ref="AC89:AC96" si="54">+AB89</f>
        <v>0.19288590484048537</v>
      </c>
      <c r="AD89" s="229"/>
      <c r="AE89" s="230">
        <f>+'Plan de Accion apoyo transversa'!CA80</f>
        <v>0</v>
      </c>
      <c r="AF89" s="266">
        <f>+'Plan de Accion apoyo transversa'!CL80</f>
        <v>0</v>
      </c>
      <c r="AG89" s="228">
        <f>IF(AF89&gt;100%,100%,AF89)</f>
        <v>0</v>
      </c>
      <c r="AH89" s="266">
        <f>+'Plan de Accion apoyo transversa'!CC80</f>
        <v>0.19288590484048537</v>
      </c>
      <c r="AI89" s="227">
        <f t="shared" si="52"/>
        <v>0.19288590484048537</v>
      </c>
      <c r="AJ89" s="261"/>
      <c r="AK89" s="253"/>
      <c r="AL89" s="259"/>
      <c r="AM89" s="258"/>
      <c r="AN89" s="260"/>
      <c r="AO89" s="259"/>
      <c r="AP89" s="258"/>
      <c r="AQ89" s="260"/>
      <c r="AR89" s="259"/>
      <c r="AS89" s="258"/>
      <c r="AT89" s="260"/>
      <c r="AU89" s="259"/>
      <c r="AV89" s="258"/>
      <c r="AW89" s="252"/>
      <c r="AX89" s="257"/>
      <c r="AY89" s="252"/>
      <c r="AZ89" s="259"/>
      <c r="BA89" s="258"/>
      <c r="BB89" s="260"/>
      <c r="BC89" s="259"/>
      <c r="BD89" s="258"/>
      <c r="BE89" s="260"/>
      <c r="BF89" s="259"/>
      <c r="BG89" s="258"/>
      <c r="BH89" s="260"/>
      <c r="BI89" s="259"/>
      <c r="BJ89" s="258"/>
      <c r="BK89" s="252"/>
      <c r="BL89" s="257"/>
      <c r="BN89" s="259"/>
      <c r="BO89" s="258"/>
      <c r="BP89" s="260"/>
      <c r="BQ89" s="259"/>
      <c r="BR89" s="258"/>
      <c r="BS89" s="260"/>
      <c r="BT89" s="259"/>
      <c r="BU89" s="258"/>
      <c r="BV89" s="260"/>
      <c r="BW89" s="259"/>
      <c r="BX89" s="258"/>
      <c r="BY89" s="252"/>
      <c r="BZ89" s="257"/>
      <c r="CB89" s="259"/>
      <c r="CC89" s="258"/>
      <c r="CD89" s="260"/>
      <c r="CE89" s="259"/>
      <c r="CF89" s="258"/>
      <c r="CG89" s="260"/>
      <c r="CH89" s="259"/>
      <c r="CI89" s="258"/>
      <c r="CJ89" s="260"/>
      <c r="CK89" s="259"/>
      <c r="CL89" s="258"/>
      <c r="CM89" s="252"/>
      <c r="CN89" s="257"/>
    </row>
    <row r="90" spans="2:92" ht="72" thickBot="1" x14ac:dyDescent="0.25">
      <c r="B90" s="1345"/>
      <c r="C90" s="1231"/>
      <c r="D90" s="1215"/>
      <c r="E90" s="1303"/>
      <c r="F90" s="1304"/>
      <c r="G90" s="335" t="str">
        <f>+'Plan de Accion apoyo transversa'!X81</f>
        <v>Capacitación de Finanzas, contabilidad básicas, Presupuesto Público, Gestión Presupuestal EICE realizada</v>
      </c>
      <c r="H90" s="1219"/>
      <c r="J90" s="230">
        <f>+'Plan de Accion apoyo transversa'!AW81</f>
        <v>0</v>
      </c>
      <c r="K90" s="503">
        <f>+'Plan de Accion apoyo transversa'!CF81</f>
        <v>0</v>
      </c>
      <c r="L90" s="732">
        <f>IF(K90&gt;100%,100%,K90)</f>
        <v>0</v>
      </c>
      <c r="M90" s="503">
        <f>+'Plan de Accion apoyo transversa'!AY81</f>
        <v>0</v>
      </c>
      <c r="N90" s="503">
        <f t="shared" si="49"/>
        <v>0</v>
      </c>
      <c r="O90" s="732">
        <f>+N90</f>
        <v>0</v>
      </c>
      <c r="P90" s="229"/>
      <c r="Q90" s="230">
        <f>+'Plan de Accion apoyo transversa'!BG81</f>
        <v>0</v>
      </c>
      <c r="R90" s="266">
        <f>+'Plan de Accion apoyo transversa'!CH81</f>
        <v>0</v>
      </c>
      <c r="S90" s="228">
        <f>IF(R90&gt;100%,100%,R90)</f>
        <v>0</v>
      </c>
      <c r="T90" s="324">
        <f>+'Plan de Accion apoyo transversa'!BI81</f>
        <v>0</v>
      </c>
      <c r="U90" s="324">
        <f t="shared" si="50"/>
        <v>0</v>
      </c>
      <c r="V90" s="227">
        <f t="shared" si="53"/>
        <v>0</v>
      </c>
      <c r="W90" s="229"/>
      <c r="X90" s="230">
        <f>+'Plan de Accion apoyo transversa'!BQ81</f>
        <v>0</v>
      </c>
      <c r="Y90" s="266">
        <f>+'Plan de Accion apoyo transversa'!CJ81</f>
        <v>0</v>
      </c>
      <c r="Z90" s="228">
        <f>IF(Y90&gt;100%,100%,Y90)</f>
        <v>0</v>
      </c>
      <c r="AA90" s="233">
        <f>+'Plan de Accion apoyo transversa'!BS81</f>
        <v>0</v>
      </c>
      <c r="AB90" s="233">
        <f t="shared" si="51"/>
        <v>0</v>
      </c>
      <c r="AC90" s="322">
        <f t="shared" si="54"/>
        <v>0</v>
      </c>
      <c r="AD90" s="229"/>
      <c r="AE90" s="230">
        <f>+'Plan de Accion apoyo transversa'!CA81</f>
        <v>0</v>
      </c>
      <c r="AF90" s="266">
        <f>+'Plan de Accion apoyo transversa'!CL81</f>
        <v>0</v>
      </c>
      <c r="AG90" s="228">
        <f>IF(AF90&gt;100%,100%,AF90)</f>
        <v>0</v>
      </c>
      <c r="AH90" s="266">
        <f>+'Plan de Accion apoyo transversa'!CC81</f>
        <v>0</v>
      </c>
      <c r="AI90" s="227">
        <f t="shared" si="52"/>
        <v>0</v>
      </c>
      <c r="AJ90" s="261"/>
      <c r="AK90" s="253"/>
      <c r="AL90" s="259"/>
      <c r="AM90" s="258"/>
      <c r="AN90" s="260"/>
      <c r="AO90" s="259"/>
      <c r="AP90" s="258"/>
      <c r="AQ90" s="260"/>
      <c r="AR90" s="259"/>
      <c r="AS90" s="258"/>
      <c r="AT90" s="260"/>
      <c r="AU90" s="259"/>
      <c r="AV90" s="258"/>
      <c r="AW90" s="252"/>
      <c r="AX90" s="257"/>
      <c r="AY90" s="252"/>
      <c r="AZ90" s="259"/>
      <c r="BA90" s="258"/>
      <c r="BB90" s="260"/>
      <c r="BC90" s="259"/>
      <c r="BD90" s="258"/>
      <c r="BE90" s="260"/>
      <c r="BF90" s="259"/>
      <c r="BG90" s="258"/>
      <c r="BH90" s="260"/>
      <c r="BI90" s="259"/>
      <c r="BJ90" s="258"/>
      <c r="BK90" s="252"/>
      <c r="BL90" s="257"/>
      <c r="BN90" s="259"/>
      <c r="BO90" s="258"/>
      <c r="BP90" s="260"/>
      <c r="BQ90" s="259"/>
      <c r="BR90" s="258"/>
      <c r="BS90" s="260"/>
      <c r="BT90" s="259"/>
      <c r="BU90" s="258"/>
      <c r="BV90" s="260"/>
      <c r="BW90" s="259"/>
      <c r="BX90" s="258"/>
      <c r="BY90" s="252"/>
      <c r="BZ90" s="257"/>
      <c r="CB90" s="259"/>
      <c r="CC90" s="258"/>
      <c r="CD90" s="260"/>
      <c r="CE90" s="259"/>
      <c r="CF90" s="258"/>
      <c r="CG90" s="260"/>
      <c r="CH90" s="259"/>
      <c r="CI90" s="258"/>
      <c r="CJ90" s="260"/>
      <c r="CK90" s="259"/>
      <c r="CL90" s="258"/>
      <c r="CM90" s="252"/>
      <c r="CN90" s="257"/>
    </row>
    <row r="91" spans="2:92" ht="29.25" thickBot="1" x14ac:dyDescent="0.25">
      <c r="B91" s="1345"/>
      <c r="C91" s="1231"/>
      <c r="D91" s="1215"/>
      <c r="E91" s="1303"/>
      <c r="F91" s="1304"/>
      <c r="G91" s="335" t="str">
        <f>+'Plan de Accion apoyo transversa'!X82</f>
        <v>Capacitación de Estadística realizada</v>
      </c>
      <c r="H91" s="1219"/>
      <c r="J91" s="230">
        <f>+'Plan de Accion apoyo transversa'!AW82</f>
        <v>0</v>
      </c>
      <c r="K91" s="503">
        <f>+'Plan de Accion apoyo transversa'!CF82</f>
        <v>0</v>
      </c>
      <c r="L91" s="732">
        <f>IF(K91&gt;100%,100%,K91)</f>
        <v>0</v>
      </c>
      <c r="M91" s="503">
        <f>+'Plan de Accion apoyo transversa'!AY82</f>
        <v>0</v>
      </c>
      <c r="N91" s="503">
        <f t="shared" si="49"/>
        <v>0</v>
      </c>
      <c r="O91" s="732">
        <f>+N91</f>
        <v>0</v>
      </c>
      <c r="P91" s="229"/>
      <c r="Q91" s="230">
        <f>+'Plan de Accion apoyo transversa'!BG82</f>
        <v>0</v>
      </c>
      <c r="R91" s="266">
        <f>+'Plan de Accion apoyo transversa'!CH82</f>
        <v>0</v>
      </c>
      <c r="S91" s="228">
        <f>IF(R91&gt;100%,100%,R91)</f>
        <v>0</v>
      </c>
      <c r="T91" s="324">
        <f>+'Plan de Accion apoyo transversa'!BI82</f>
        <v>0</v>
      </c>
      <c r="U91" s="324">
        <f t="shared" si="50"/>
        <v>0</v>
      </c>
      <c r="V91" s="227">
        <f t="shared" si="53"/>
        <v>0</v>
      </c>
      <c r="W91" s="229"/>
      <c r="X91" s="230">
        <f>+'Plan de Accion apoyo transversa'!BQ82</f>
        <v>0</v>
      </c>
      <c r="Y91" s="266">
        <f>+'Plan de Accion apoyo transversa'!CJ82</f>
        <v>0</v>
      </c>
      <c r="Z91" s="228">
        <f>IF(Y91&gt;100%,100%,Y91)</f>
        <v>0</v>
      </c>
      <c r="AA91" s="233">
        <f>+'Plan de Accion apoyo transversa'!BS82</f>
        <v>0</v>
      </c>
      <c r="AB91" s="233">
        <f t="shared" si="51"/>
        <v>0</v>
      </c>
      <c r="AC91" s="734">
        <f t="shared" si="54"/>
        <v>0</v>
      </c>
      <c r="AD91" s="229"/>
      <c r="AE91" s="230">
        <f>+'Plan de Accion apoyo transversa'!CA82</f>
        <v>0</v>
      </c>
      <c r="AF91" s="266">
        <f>+'Plan de Accion apoyo transversa'!CL82</f>
        <v>0</v>
      </c>
      <c r="AG91" s="228">
        <f>IF(AF91&gt;100%,100%,AF91)</f>
        <v>0</v>
      </c>
      <c r="AH91" s="266">
        <f>+'Plan de Accion apoyo transversa'!CC82</f>
        <v>0</v>
      </c>
      <c r="AI91" s="227">
        <f t="shared" si="52"/>
        <v>0</v>
      </c>
      <c r="AJ91" s="261"/>
      <c r="AK91" s="253"/>
      <c r="AL91" s="259"/>
      <c r="AM91" s="258"/>
      <c r="AN91" s="260"/>
      <c r="AO91" s="259"/>
      <c r="AP91" s="258"/>
      <c r="AQ91" s="260"/>
      <c r="AR91" s="259"/>
      <c r="AS91" s="258"/>
      <c r="AT91" s="260"/>
      <c r="AU91" s="259"/>
      <c r="AV91" s="258"/>
      <c r="AW91" s="252"/>
      <c r="AX91" s="257"/>
      <c r="AY91" s="252"/>
      <c r="AZ91" s="259"/>
      <c r="BA91" s="258"/>
      <c r="BB91" s="260"/>
      <c r="BC91" s="259"/>
      <c r="BD91" s="258"/>
      <c r="BE91" s="260"/>
      <c r="BF91" s="259"/>
      <c r="BG91" s="258"/>
      <c r="BH91" s="260"/>
      <c r="BI91" s="259"/>
      <c r="BJ91" s="258"/>
      <c r="BK91" s="252"/>
      <c r="BL91" s="257"/>
      <c r="BN91" s="259"/>
      <c r="BO91" s="258"/>
      <c r="BP91" s="260"/>
      <c r="BQ91" s="259"/>
      <c r="BR91" s="258"/>
      <c r="BS91" s="260"/>
      <c r="BT91" s="259"/>
      <c r="BU91" s="258"/>
      <c r="BV91" s="260"/>
      <c r="BW91" s="259"/>
      <c r="BX91" s="258"/>
      <c r="BY91" s="252"/>
      <c r="BZ91" s="257"/>
      <c r="CB91" s="259"/>
      <c r="CC91" s="258"/>
      <c r="CD91" s="260"/>
      <c r="CE91" s="259"/>
      <c r="CF91" s="258"/>
      <c r="CG91" s="260"/>
      <c r="CH91" s="259"/>
      <c r="CI91" s="258"/>
      <c r="CJ91" s="260"/>
      <c r="CK91" s="259"/>
      <c r="CL91" s="258"/>
      <c r="CM91" s="252"/>
      <c r="CN91" s="257"/>
    </row>
    <row r="92" spans="2:92" ht="43.5" thickBot="1" x14ac:dyDescent="0.25">
      <c r="B92" s="1345"/>
      <c r="C92" s="1231"/>
      <c r="D92" s="1215"/>
      <c r="E92" s="1303"/>
      <c r="F92" s="1304"/>
      <c r="G92" s="335" t="str">
        <f>+'Plan de Accion apoyo transversa'!X78</f>
        <v>Capacitación de Contratación estatal realizada</v>
      </c>
      <c r="H92" s="1219"/>
      <c r="J92" s="230" t="e">
        <f>+'Plan de Accion apoyo transversa'!AW78</f>
        <v>#DIV/0!</v>
      </c>
      <c r="K92" s="503" t="str">
        <f>+'Plan de Accion apoyo transversa'!CF78</f>
        <v>No Prog ni Ejec</v>
      </c>
      <c r="L92" s="503" t="s">
        <v>204</v>
      </c>
      <c r="M92" s="503" t="s">
        <v>204</v>
      </c>
      <c r="N92" s="503" t="s">
        <v>204</v>
      </c>
      <c r="O92" s="503" t="s">
        <v>204</v>
      </c>
      <c r="P92" s="229"/>
      <c r="Q92" s="230" t="s">
        <v>204</v>
      </c>
      <c r="R92" s="266" t="s">
        <v>180</v>
      </c>
      <c r="S92" s="228" t="s">
        <v>204</v>
      </c>
      <c r="T92" s="579" t="s">
        <v>204</v>
      </c>
      <c r="U92" s="579" t="s">
        <v>204</v>
      </c>
      <c r="V92" s="227" t="str">
        <f t="shared" si="53"/>
        <v>N.A</v>
      </c>
      <c r="W92" s="229"/>
      <c r="X92" s="230" t="s">
        <v>204</v>
      </c>
      <c r="Y92" s="266" t="s">
        <v>180</v>
      </c>
      <c r="Z92" s="228" t="s">
        <v>204</v>
      </c>
      <c r="AA92" s="233" t="s">
        <v>204</v>
      </c>
      <c r="AB92" s="233" t="s">
        <v>204</v>
      </c>
      <c r="AC92" s="583" t="str">
        <f>+AB92</f>
        <v>N.A</v>
      </c>
      <c r="AD92" s="229"/>
      <c r="AE92" s="230" t="s">
        <v>204</v>
      </c>
      <c r="AF92" s="266" t="s">
        <v>180</v>
      </c>
      <c r="AG92" s="228" t="s">
        <v>204</v>
      </c>
      <c r="AH92" s="266" t="s">
        <v>204</v>
      </c>
      <c r="AI92" s="227" t="s">
        <v>204</v>
      </c>
      <c r="AJ92" s="261"/>
      <c r="AK92" s="253"/>
      <c r="AL92" s="259"/>
      <c r="AM92" s="258"/>
      <c r="AN92" s="260"/>
      <c r="AO92" s="259"/>
      <c r="AP92" s="258"/>
      <c r="AQ92" s="260"/>
      <c r="AR92" s="259"/>
      <c r="AS92" s="258"/>
      <c r="AT92" s="260"/>
      <c r="AU92" s="259"/>
      <c r="AV92" s="258"/>
      <c r="AW92" s="252"/>
      <c r="AX92" s="257"/>
      <c r="AY92" s="252"/>
      <c r="AZ92" s="259"/>
      <c r="BA92" s="258"/>
      <c r="BB92" s="260"/>
      <c r="BC92" s="259"/>
      <c r="BD92" s="258"/>
      <c r="BE92" s="260"/>
      <c r="BF92" s="259"/>
      <c r="BG92" s="258"/>
      <c r="BH92" s="260"/>
      <c r="BI92" s="259"/>
      <c r="BJ92" s="258"/>
      <c r="BK92" s="252"/>
      <c r="BL92" s="257"/>
      <c r="BN92" s="259"/>
      <c r="BO92" s="258"/>
      <c r="BP92" s="260"/>
      <c r="BQ92" s="259"/>
      <c r="BR92" s="258"/>
      <c r="BS92" s="260"/>
      <c r="BT92" s="259"/>
      <c r="BU92" s="258"/>
      <c r="BV92" s="260"/>
      <c r="BW92" s="259"/>
      <c r="BX92" s="258"/>
      <c r="BY92" s="252"/>
      <c r="BZ92" s="257"/>
      <c r="CB92" s="259"/>
      <c r="CC92" s="258"/>
      <c r="CD92" s="260"/>
      <c r="CE92" s="259"/>
      <c r="CF92" s="258"/>
      <c r="CG92" s="260"/>
      <c r="CH92" s="259"/>
      <c r="CI92" s="258"/>
      <c r="CJ92" s="260"/>
      <c r="CK92" s="259"/>
      <c r="CL92" s="258"/>
      <c r="CM92" s="252"/>
      <c r="CN92" s="257"/>
    </row>
    <row r="93" spans="2:92" ht="29.25" thickBot="1" x14ac:dyDescent="0.25">
      <c r="B93" s="1345"/>
      <c r="C93" s="1231"/>
      <c r="D93" s="1215"/>
      <c r="E93" s="1303"/>
      <c r="F93" s="1304"/>
      <c r="G93" s="335" t="str">
        <f>+'Plan de Accion apoyo transversa'!X79</f>
        <v>Capacitación de Salud publica realizada</v>
      </c>
      <c r="H93" s="1219"/>
      <c r="J93" s="230" t="e">
        <f>+'Plan de Accion apoyo transversa'!AW79</f>
        <v>#DIV/0!</v>
      </c>
      <c r="K93" s="503" t="str">
        <f>+'Plan de Accion apoyo transversa'!CF79</f>
        <v>No Prog ni Ejec</v>
      </c>
      <c r="L93" s="503" t="s">
        <v>204</v>
      </c>
      <c r="M93" s="503" t="s">
        <v>204</v>
      </c>
      <c r="N93" s="503" t="s">
        <v>204</v>
      </c>
      <c r="O93" s="503" t="s">
        <v>204</v>
      </c>
      <c r="P93" s="229"/>
      <c r="Q93" s="230" t="s">
        <v>204</v>
      </c>
      <c r="R93" s="266" t="str">
        <f>+'Plan de Accion apoyo transversa'!CH79</f>
        <v>No Prog ni Ejec</v>
      </c>
      <c r="S93" s="228" t="s">
        <v>204</v>
      </c>
      <c r="T93" s="324" t="s">
        <v>204</v>
      </c>
      <c r="U93" s="324" t="s">
        <v>204</v>
      </c>
      <c r="V93" s="227" t="s">
        <v>204</v>
      </c>
      <c r="W93" s="229"/>
      <c r="X93" s="230" t="s">
        <v>204</v>
      </c>
      <c r="Y93" s="266" t="str">
        <f>+'Plan de Accion apoyo transversa'!CJ79</f>
        <v>No Prog ni Ejec</v>
      </c>
      <c r="Z93" s="228" t="s">
        <v>204</v>
      </c>
      <c r="AA93" s="233" t="s">
        <v>204</v>
      </c>
      <c r="AB93" s="233" t="s">
        <v>204</v>
      </c>
      <c r="AC93" s="322" t="s">
        <v>204</v>
      </c>
      <c r="AD93" s="229"/>
      <c r="AE93" s="230" t="s">
        <v>204</v>
      </c>
      <c r="AF93" s="266" t="str">
        <f>+'Plan de Accion apoyo transversa'!CL79</f>
        <v>No Prog ni Ejec</v>
      </c>
      <c r="AG93" s="228" t="s">
        <v>204</v>
      </c>
      <c r="AH93" s="266" t="s">
        <v>204</v>
      </c>
      <c r="AI93" s="227" t="s">
        <v>204</v>
      </c>
      <c r="AJ93" s="261"/>
      <c r="AK93" s="253"/>
      <c r="AL93" s="259"/>
      <c r="AM93" s="258"/>
      <c r="AN93" s="260"/>
      <c r="AO93" s="259"/>
      <c r="AP93" s="258"/>
      <c r="AQ93" s="260"/>
      <c r="AR93" s="259"/>
      <c r="AS93" s="258"/>
      <c r="AT93" s="260"/>
      <c r="AU93" s="259"/>
      <c r="AV93" s="258"/>
      <c r="AW93" s="252"/>
      <c r="AX93" s="257"/>
      <c r="AY93" s="252"/>
      <c r="AZ93" s="259"/>
      <c r="BA93" s="258"/>
      <c r="BB93" s="260"/>
      <c r="BC93" s="259"/>
      <c r="BD93" s="258"/>
      <c r="BE93" s="260"/>
      <c r="BF93" s="259"/>
      <c r="BG93" s="258"/>
      <c r="BH93" s="260"/>
      <c r="BI93" s="259"/>
      <c r="BJ93" s="258"/>
      <c r="BK93" s="252"/>
      <c r="BL93" s="257"/>
      <c r="BN93" s="259"/>
      <c r="BO93" s="258"/>
      <c r="BP93" s="260"/>
      <c r="BQ93" s="259"/>
      <c r="BR93" s="258"/>
      <c r="BS93" s="260"/>
      <c r="BT93" s="259"/>
      <c r="BU93" s="258"/>
      <c r="BV93" s="260"/>
      <c r="BW93" s="259"/>
      <c r="BX93" s="258"/>
      <c r="BY93" s="252"/>
      <c r="BZ93" s="257"/>
      <c r="CB93" s="259"/>
      <c r="CC93" s="258"/>
      <c r="CD93" s="260"/>
      <c r="CE93" s="259"/>
      <c r="CF93" s="258"/>
      <c r="CG93" s="260"/>
      <c r="CH93" s="259"/>
      <c r="CI93" s="258"/>
      <c r="CJ93" s="260"/>
      <c r="CK93" s="259"/>
      <c r="CL93" s="258"/>
      <c r="CM93" s="252"/>
      <c r="CN93" s="257"/>
    </row>
    <row r="94" spans="2:92" ht="43.5" thickBot="1" x14ac:dyDescent="0.25">
      <c r="B94" s="1345"/>
      <c r="C94" s="1231"/>
      <c r="D94" s="1215"/>
      <c r="E94" s="1303"/>
      <c r="F94" s="1304"/>
      <c r="G94" s="335" t="str">
        <f>+'Plan de Accion apoyo transversa'!X83</f>
        <v>Capacitación de Trabajo en equipo, comunicación asertiva realizada.</v>
      </c>
      <c r="H94" s="1219"/>
      <c r="J94" s="230">
        <f>+'Plan de Accion apoyo transversa'!AW83</f>
        <v>0</v>
      </c>
      <c r="K94" s="503">
        <f>+'Plan de Accion apoyo transversa'!CF83</f>
        <v>0</v>
      </c>
      <c r="L94" s="732">
        <f>IF(K94&gt;100%,100%,K94)</f>
        <v>0</v>
      </c>
      <c r="M94" s="503">
        <f>+'Plan de Accion apoyo transversa'!AY83</f>
        <v>0</v>
      </c>
      <c r="N94" s="503">
        <f t="shared" si="49"/>
        <v>0</v>
      </c>
      <c r="O94" s="732">
        <f>+N94</f>
        <v>0</v>
      </c>
      <c r="P94" s="229"/>
      <c r="Q94" s="230">
        <f>+'Plan de Accion apoyo transversa'!BG83</f>
        <v>0</v>
      </c>
      <c r="R94" s="266">
        <f>+'Plan de Accion apoyo transversa'!CH83</f>
        <v>0</v>
      </c>
      <c r="S94" s="228">
        <f>IF(R94&gt;100%,100%,R94)</f>
        <v>0</v>
      </c>
      <c r="T94" s="324">
        <f>+'Plan de Accion apoyo transversa'!BI83</f>
        <v>0</v>
      </c>
      <c r="U94" s="324">
        <f t="shared" si="50"/>
        <v>0</v>
      </c>
      <c r="V94" s="227">
        <f t="shared" ref="V94:V123" si="55">+U94</f>
        <v>0</v>
      </c>
      <c r="W94" s="229"/>
      <c r="X94" s="230">
        <f>+'Plan de Accion apoyo transversa'!BQ83</f>
        <v>0</v>
      </c>
      <c r="Y94" s="266">
        <f>+'Plan de Accion apoyo transversa'!CJ83</f>
        <v>0</v>
      </c>
      <c r="Z94" s="228">
        <f>IF(Y94&gt;100%,100%,Y94)</f>
        <v>0</v>
      </c>
      <c r="AA94" s="233">
        <f>+'Plan de Accion apoyo transversa'!BS83</f>
        <v>0</v>
      </c>
      <c r="AB94" s="233">
        <f t="shared" si="51"/>
        <v>0</v>
      </c>
      <c r="AC94" s="322">
        <f t="shared" si="54"/>
        <v>0</v>
      </c>
      <c r="AD94" s="229"/>
      <c r="AE94" s="230">
        <f>+'Plan de Accion apoyo transversa'!CA83</f>
        <v>0</v>
      </c>
      <c r="AF94" s="266">
        <f>+'Plan de Accion apoyo transversa'!CL83</f>
        <v>0</v>
      </c>
      <c r="AG94" s="228">
        <f>IF(AF94&gt;100%,100%,AF94)</f>
        <v>0</v>
      </c>
      <c r="AH94" s="266">
        <f>+'Plan de Accion apoyo transversa'!CC83</f>
        <v>0</v>
      </c>
      <c r="AI94" s="227">
        <f t="shared" si="52"/>
        <v>0</v>
      </c>
      <c r="AJ94" s="261"/>
      <c r="AK94" s="253"/>
      <c r="AL94" s="259"/>
      <c r="AM94" s="258"/>
      <c r="AN94" s="260"/>
      <c r="AO94" s="259"/>
      <c r="AP94" s="258"/>
      <c r="AQ94" s="260"/>
      <c r="AR94" s="259"/>
      <c r="AS94" s="258"/>
      <c r="AT94" s="260"/>
      <c r="AU94" s="259"/>
      <c r="AV94" s="258"/>
      <c r="AW94" s="252"/>
      <c r="AX94" s="257"/>
      <c r="AY94" s="252"/>
      <c r="AZ94" s="259"/>
      <c r="BA94" s="258"/>
      <c r="BB94" s="260"/>
      <c r="BC94" s="259"/>
      <c r="BD94" s="258"/>
      <c r="BE94" s="260"/>
      <c r="BF94" s="259"/>
      <c r="BG94" s="258"/>
      <c r="BH94" s="260"/>
      <c r="BI94" s="259"/>
      <c r="BJ94" s="258"/>
      <c r="BK94" s="252"/>
      <c r="BL94" s="257"/>
      <c r="BN94" s="259"/>
      <c r="BO94" s="258"/>
      <c r="BP94" s="260"/>
      <c r="BQ94" s="259"/>
      <c r="BR94" s="258"/>
      <c r="BS94" s="260"/>
      <c r="BT94" s="259"/>
      <c r="BU94" s="258"/>
      <c r="BV94" s="260"/>
      <c r="BW94" s="259"/>
      <c r="BX94" s="258"/>
      <c r="BY94" s="252"/>
      <c r="BZ94" s="257"/>
      <c r="CB94" s="259"/>
      <c r="CC94" s="258"/>
      <c r="CD94" s="260"/>
      <c r="CE94" s="259"/>
      <c r="CF94" s="258"/>
      <c r="CG94" s="260"/>
      <c r="CH94" s="259"/>
      <c r="CI94" s="258"/>
      <c r="CJ94" s="260"/>
      <c r="CK94" s="259"/>
      <c r="CL94" s="258"/>
      <c r="CM94" s="252"/>
      <c r="CN94" s="257"/>
    </row>
    <row r="95" spans="2:92" ht="29.25" thickBot="1" x14ac:dyDescent="0.25">
      <c r="B95" s="1345"/>
      <c r="C95" s="1231"/>
      <c r="D95" s="1215"/>
      <c r="E95" s="1303"/>
      <c r="F95" s="1304"/>
      <c r="G95" s="335" t="str">
        <f>+'Plan de Accion apoyo transversa'!X84</f>
        <v>Capacitación de Redacción realizada</v>
      </c>
      <c r="H95" s="1219"/>
      <c r="J95" s="230">
        <f>+'Plan de Accion apoyo transversa'!AW84</f>
        <v>0</v>
      </c>
      <c r="K95" s="503">
        <f>+'Plan de Accion apoyo transversa'!CF84</f>
        <v>0</v>
      </c>
      <c r="L95" s="732">
        <f>IF(K95&gt;100%,100%,K95)</f>
        <v>0</v>
      </c>
      <c r="M95" s="503">
        <f>+'Plan de Accion apoyo transversa'!AY84</f>
        <v>0</v>
      </c>
      <c r="N95" s="503">
        <f t="shared" si="49"/>
        <v>0</v>
      </c>
      <c r="O95" s="732">
        <f>+N95</f>
        <v>0</v>
      </c>
      <c r="P95" s="229"/>
      <c r="Q95" s="230">
        <f>+'Plan de Accion apoyo transversa'!BG84</f>
        <v>0</v>
      </c>
      <c r="R95" s="266">
        <f>+'Plan de Accion apoyo transversa'!CH84</f>
        <v>0</v>
      </c>
      <c r="S95" s="228">
        <f>IF(R95&gt;100%,100%,R95)</f>
        <v>0</v>
      </c>
      <c r="T95" s="324">
        <f>+'Plan de Accion apoyo transversa'!BI84</f>
        <v>0</v>
      </c>
      <c r="U95" s="324">
        <f t="shared" si="50"/>
        <v>0</v>
      </c>
      <c r="V95" s="227">
        <f t="shared" si="55"/>
        <v>0</v>
      </c>
      <c r="W95" s="229"/>
      <c r="X95" s="230">
        <f>+'Plan de Accion apoyo transversa'!BQ84</f>
        <v>0</v>
      </c>
      <c r="Y95" s="266">
        <f>+'Plan de Accion apoyo transversa'!CJ84</f>
        <v>0</v>
      </c>
      <c r="Z95" s="228">
        <f>IF(Y95&gt;100%,100%,Y95)</f>
        <v>0</v>
      </c>
      <c r="AA95" s="233">
        <f>+'Plan de Accion apoyo transversa'!BS84</f>
        <v>0</v>
      </c>
      <c r="AB95" s="233">
        <f t="shared" si="51"/>
        <v>0</v>
      </c>
      <c r="AC95" s="322">
        <f t="shared" si="54"/>
        <v>0</v>
      </c>
      <c r="AD95" s="229"/>
      <c r="AE95" s="230">
        <f>+'Plan de Accion apoyo transversa'!CA84</f>
        <v>0</v>
      </c>
      <c r="AF95" s="266">
        <f>+'Plan de Accion apoyo transversa'!CL84</f>
        <v>0</v>
      </c>
      <c r="AG95" s="228">
        <f>IF(AF95&gt;100%,100%,AF95)</f>
        <v>0</v>
      </c>
      <c r="AH95" s="266">
        <f>+'Plan de Accion apoyo transversa'!CC84</f>
        <v>0</v>
      </c>
      <c r="AI95" s="227">
        <f t="shared" si="52"/>
        <v>0</v>
      </c>
      <c r="AJ95" s="261"/>
      <c r="AK95" s="253"/>
      <c r="AL95" s="259"/>
      <c r="AM95" s="258"/>
      <c r="AN95" s="260"/>
      <c r="AO95" s="259"/>
      <c r="AP95" s="258"/>
      <c r="AQ95" s="260"/>
      <c r="AR95" s="259"/>
      <c r="AS95" s="258"/>
      <c r="AT95" s="260"/>
      <c r="AU95" s="259"/>
      <c r="AV95" s="258"/>
      <c r="AW95" s="252"/>
      <c r="AX95" s="257"/>
      <c r="AY95" s="252"/>
      <c r="AZ95" s="259"/>
      <c r="BA95" s="258"/>
      <c r="BB95" s="260"/>
      <c r="BC95" s="259"/>
      <c r="BD95" s="258"/>
      <c r="BE95" s="260"/>
      <c r="BF95" s="259"/>
      <c r="BG95" s="258"/>
      <c r="BH95" s="260"/>
      <c r="BI95" s="259"/>
      <c r="BJ95" s="258"/>
      <c r="BK95" s="252"/>
      <c r="BL95" s="257"/>
      <c r="BN95" s="259"/>
      <c r="BO95" s="258"/>
      <c r="BP95" s="260"/>
      <c r="BQ95" s="259"/>
      <c r="BR95" s="258"/>
      <c r="BS95" s="260"/>
      <c r="BT95" s="259"/>
      <c r="BU95" s="258"/>
      <c r="BV95" s="260"/>
      <c r="BW95" s="259"/>
      <c r="BX95" s="258"/>
      <c r="BY95" s="252"/>
      <c r="BZ95" s="257"/>
      <c r="CB95" s="259"/>
      <c r="CC95" s="258"/>
      <c r="CD95" s="260"/>
      <c r="CE95" s="259"/>
      <c r="CF95" s="258"/>
      <c r="CG95" s="260"/>
      <c r="CH95" s="259"/>
      <c r="CI95" s="258"/>
      <c r="CJ95" s="260"/>
      <c r="CK95" s="259"/>
      <c r="CL95" s="258"/>
      <c r="CM95" s="252"/>
      <c r="CN95" s="257"/>
    </row>
    <row r="96" spans="2:92" ht="29.25" thickBot="1" x14ac:dyDescent="0.25">
      <c r="B96" s="1345"/>
      <c r="C96" s="1231"/>
      <c r="D96" s="1215"/>
      <c r="E96" s="1303"/>
      <c r="F96" s="1304"/>
      <c r="G96" s="335" t="str">
        <f>+'Plan de Accion apoyo transversa'!X85</f>
        <v>Capacitación de Código de Integridad realizada</v>
      </c>
      <c r="H96" s="1219"/>
      <c r="J96" s="230">
        <f>+'Plan de Accion apoyo transversa'!AW85</f>
        <v>0</v>
      </c>
      <c r="K96" s="503">
        <f>+'Plan de Accion apoyo transversa'!CF85</f>
        <v>0</v>
      </c>
      <c r="L96" s="732">
        <f>IF(K96&gt;100%,100%,K96)</f>
        <v>0</v>
      </c>
      <c r="M96" s="503">
        <f>+'Plan de Accion apoyo transversa'!AY85</f>
        <v>0</v>
      </c>
      <c r="N96" s="503">
        <f t="shared" si="49"/>
        <v>0</v>
      </c>
      <c r="O96" s="732">
        <f>+N96</f>
        <v>0</v>
      </c>
      <c r="P96" s="229"/>
      <c r="Q96" s="230">
        <f>+'Plan de Accion apoyo transversa'!BG85</f>
        <v>0</v>
      </c>
      <c r="R96" s="266">
        <f>+'Plan de Accion apoyo transversa'!CH85</f>
        <v>0</v>
      </c>
      <c r="S96" s="228">
        <f>IF(R96&gt;100%,100%,R96)</f>
        <v>0</v>
      </c>
      <c r="T96" s="324">
        <f>+'Plan de Accion apoyo transversa'!BI85</f>
        <v>0</v>
      </c>
      <c r="U96" s="324">
        <f t="shared" si="50"/>
        <v>0</v>
      </c>
      <c r="V96" s="227">
        <f t="shared" si="55"/>
        <v>0</v>
      </c>
      <c r="W96" s="229"/>
      <c r="X96" s="230">
        <f>+'Plan de Accion apoyo transversa'!BQ85</f>
        <v>0</v>
      </c>
      <c r="Y96" s="266">
        <f>+'Plan de Accion apoyo transversa'!CJ85</f>
        <v>0</v>
      </c>
      <c r="Z96" s="228">
        <f>IF(Y96&gt;100%,100%,Y96)</f>
        <v>0</v>
      </c>
      <c r="AA96" s="233">
        <f>+'Plan de Accion apoyo transversa'!BS85</f>
        <v>0</v>
      </c>
      <c r="AB96" s="233">
        <f t="shared" si="51"/>
        <v>0</v>
      </c>
      <c r="AC96" s="322">
        <f t="shared" si="54"/>
        <v>0</v>
      </c>
      <c r="AD96" s="229"/>
      <c r="AE96" s="230">
        <f>+'Plan de Accion apoyo transversa'!CA85</f>
        <v>0</v>
      </c>
      <c r="AF96" s="266">
        <f>+'Plan de Accion apoyo transversa'!CL85</f>
        <v>0</v>
      </c>
      <c r="AG96" s="228">
        <f>IF(AF96&gt;100%,100%,AF96)</f>
        <v>0</v>
      </c>
      <c r="AH96" s="266">
        <f>+'Plan de Accion apoyo transversa'!CC85</f>
        <v>0</v>
      </c>
      <c r="AI96" s="227">
        <f t="shared" si="52"/>
        <v>0</v>
      </c>
      <c r="AJ96" s="261"/>
      <c r="AK96" s="253"/>
      <c r="AL96" s="259"/>
      <c r="AM96" s="258"/>
      <c r="AN96" s="260"/>
      <c r="AO96" s="259"/>
      <c r="AP96" s="258"/>
      <c r="AQ96" s="260"/>
      <c r="AR96" s="259"/>
      <c r="AS96" s="258"/>
      <c r="AT96" s="260"/>
      <c r="AU96" s="259"/>
      <c r="AV96" s="258"/>
      <c r="AW96" s="252"/>
      <c r="AX96" s="257"/>
      <c r="AY96" s="252"/>
      <c r="AZ96" s="259"/>
      <c r="BA96" s="258"/>
      <c r="BB96" s="260"/>
      <c r="BC96" s="259"/>
      <c r="BD96" s="258"/>
      <c r="BE96" s="260"/>
      <c r="BF96" s="259"/>
      <c r="BG96" s="258"/>
      <c r="BH96" s="260"/>
      <c r="BI96" s="259"/>
      <c r="BJ96" s="258"/>
      <c r="BK96" s="252"/>
      <c r="BL96" s="257"/>
      <c r="BN96" s="259"/>
      <c r="BO96" s="258"/>
      <c r="BP96" s="260"/>
      <c r="BQ96" s="259"/>
      <c r="BR96" s="258"/>
      <c r="BS96" s="260"/>
      <c r="BT96" s="259"/>
      <c r="BU96" s="258"/>
      <c r="BV96" s="260"/>
      <c r="BW96" s="259"/>
      <c r="BX96" s="258"/>
      <c r="BY96" s="252"/>
      <c r="BZ96" s="257"/>
      <c r="CB96" s="259"/>
      <c r="CC96" s="258"/>
      <c r="CD96" s="260"/>
      <c r="CE96" s="259"/>
      <c r="CF96" s="258"/>
      <c r="CG96" s="260"/>
      <c r="CH96" s="259"/>
      <c r="CI96" s="258"/>
      <c r="CJ96" s="260"/>
      <c r="CK96" s="259"/>
      <c r="CL96" s="258"/>
      <c r="CM96" s="252"/>
      <c r="CN96" s="257"/>
    </row>
    <row r="97" spans="2:96" ht="21" customHeight="1" thickBot="1" x14ac:dyDescent="0.25">
      <c r="B97" s="1345"/>
      <c r="C97" s="1231"/>
      <c r="D97" s="1215"/>
      <c r="E97" s="1303"/>
      <c r="F97" s="1304" t="s">
        <v>1190</v>
      </c>
      <c r="G97" s="335" t="str">
        <f>+'Plan de Accion apoyo transversa'!X94</f>
        <v>Olimpiada deportiva de Microfútbol</v>
      </c>
      <c r="H97" s="1219"/>
      <c r="J97" s="1194" t="e">
        <f>+'Plan de Accion apoyo transversa'!AW94</f>
        <v>#DIV/0!</v>
      </c>
      <c r="K97" s="1197" t="str">
        <f>+'Plan de Accion apoyo transversa'!CF94</f>
        <v>No Prog ni Ejec</v>
      </c>
      <c r="L97" s="1197" t="s">
        <v>204</v>
      </c>
      <c r="M97" s="1197">
        <f>+'Plan de Accion apoyo transversa'!AY94</f>
        <v>0</v>
      </c>
      <c r="N97" s="1197">
        <f t="shared" si="49"/>
        <v>0</v>
      </c>
      <c r="O97" s="1197" t="s">
        <v>204</v>
      </c>
      <c r="P97" s="229"/>
      <c r="Q97" s="1194">
        <f>+'Plan de Accion apoyo transversa'!BG94</f>
        <v>0.52356458131534123</v>
      </c>
      <c r="R97" s="1197">
        <f>+'Plan de Accion apoyo transversa'!CH94</f>
        <v>0.52356458131534123</v>
      </c>
      <c r="S97" s="1197">
        <f>IF(R97&gt;100%,100%,R97)</f>
        <v>0.52356458131534123</v>
      </c>
      <c r="T97" s="1197">
        <f>+'Plan de Accion apoyo transversa'!BI94</f>
        <v>5.5112061191088545E-2</v>
      </c>
      <c r="U97" s="1197">
        <f t="shared" si="50"/>
        <v>5.5112061191088545E-2</v>
      </c>
      <c r="V97" s="1192">
        <f t="shared" si="55"/>
        <v>5.5112061191088545E-2</v>
      </c>
      <c r="W97" s="229"/>
      <c r="X97" s="1194">
        <f>+'Plan de Accion apoyo transversa'!BQ94</f>
        <v>0</v>
      </c>
      <c r="Y97" s="1197">
        <f>+'Plan de Accion apoyo transversa'!CJ94</f>
        <v>0</v>
      </c>
      <c r="Z97" s="1197">
        <f>IF(Y97&gt;100%,100%,Y97)</f>
        <v>0</v>
      </c>
      <c r="AA97" s="1204">
        <f>+'Plan de Accion apoyo transversa'!BS94</f>
        <v>5.5112061191088545E-2</v>
      </c>
      <c r="AB97" s="1204">
        <f t="shared" si="51"/>
        <v>5.5112061191088545E-2</v>
      </c>
      <c r="AC97" s="1207">
        <f>+AB97</f>
        <v>5.5112061191088545E-2</v>
      </c>
      <c r="AD97" s="229"/>
      <c r="AE97" s="1194">
        <f>+'Plan de Accion apoyo transversa'!CA94</f>
        <v>0</v>
      </c>
      <c r="AF97" s="1197">
        <f>+'Plan de Accion apoyo transversa'!CL94</f>
        <v>0</v>
      </c>
      <c r="AG97" s="1197">
        <f>IF(AF97&gt;100%,100%,AF97)</f>
        <v>0</v>
      </c>
      <c r="AH97" s="1197">
        <f>+'Plan de Accion apoyo transversa'!CC94</f>
        <v>5.5112061191088545E-2</v>
      </c>
      <c r="AI97" s="1192">
        <f t="shared" si="52"/>
        <v>5.5112061191088545E-2</v>
      </c>
      <c r="AJ97" s="261"/>
      <c r="AK97" s="253"/>
      <c r="AL97" s="259"/>
      <c r="AM97" s="258"/>
      <c r="AN97" s="260"/>
      <c r="AO97" s="259"/>
      <c r="AP97" s="258"/>
      <c r="AQ97" s="260"/>
      <c r="AR97" s="259"/>
      <c r="AS97" s="258"/>
      <c r="AT97" s="260"/>
      <c r="AU97" s="259"/>
      <c r="AV97" s="258"/>
      <c r="AW97" s="252"/>
      <c r="AX97" s="257"/>
      <c r="AY97" s="252"/>
      <c r="AZ97" s="259"/>
      <c r="BA97" s="258"/>
      <c r="BB97" s="260"/>
      <c r="BC97" s="259"/>
      <c r="BD97" s="258"/>
      <c r="BE97" s="260"/>
      <c r="BF97" s="259"/>
      <c r="BG97" s="258"/>
      <c r="BH97" s="260"/>
      <c r="BI97" s="259"/>
      <c r="BJ97" s="258"/>
      <c r="BK97" s="252"/>
      <c r="BL97" s="257"/>
      <c r="BN97" s="259"/>
      <c r="BO97" s="258"/>
      <c r="BP97" s="260"/>
      <c r="BQ97" s="259"/>
      <c r="BR97" s="258"/>
      <c r="BS97" s="260"/>
      <c r="BT97" s="259"/>
      <c r="BU97" s="258"/>
      <c r="BV97" s="260"/>
      <c r="BW97" s="259"/>
      <c r="BX97" s="258"/>
      <c r="BY97" s="252"/>
      <c r="BZ97" s="257"/>
      <c r="CB97" s="259"/>
      <c r="CC97" s="258"/>
      <c r="CD97" s="260"/>
      <c r="CE97" s="259"/>
      <c r="CF97" s="258"/>
      <c r="CG97" s="260"/>
      <c r="CH97" s="259"/>
      <c r="CI97" s="258"/>
      <c r="CJ97" s="260"/>
      <c r="CK97" s="259"/>
      <c r="CL97" s="258"/>
      <c r="CM97" s="252"/>
      <c r="CN97" s="257"/>
    </row>
    <row r="98" spans="2:96" ht="21" customHeight="1" thickBot="1" x14ac:dyDescent="0.25">
      <c r="B98" s="1345"/>
      <c r="C98" s="1231"/>
      <c r="D98" s="1215"/>
      <c r="E98" s="1303"/>
      <c r="F98" s="1304"/>
      <c r="G98" s="335" t="str">
        <f>+'Plan de Accion apoyo transversa'!X95</f>
        <v>Olimpiada deportiva de Voleibol</v>
      </c>
      <c r="H98" s="1219"/>
      <c r="J98" s="1195"/>
      <c r="K98" s="1198"/>
      <c r="L98" s="1198"/>
      <c r="M98" s="1198"/>
      <c r="N98" s="1198"/>
      <c r="O98" s="1198"/>
      <c r="P98" s="229"/>
      <c r="Q98" s="1195"/>
      <c r="R98" s="1198"/>
      <c r="S98" s="1198"/>
      <c r="T98" s="1198"/>
      <c r="U98" s="1198"/>
      <c r="V98" s="1200"/>
      <c r="W98" s="229"/>
      <c r="X98" s="1195"/>
      <c r="Y98" s="1198"/>
      <c r="Z98" s="1198"/>
      <c r="AA98" s="1205"/>
      <c r="AB98" s="1205"/>
      <c r="AC98" s="1208"/>
      <c r="AD98" s="229"/>
      <c r="AE98" s="1195"/>
      <c r="AF98" s="1198"/>
      <c r="AG98" s="1198"/>
      <c r="AH98" s="1198"/>
      <c r="AI98" s="1200"/>
      <c r="AJ98" s="261"/>
      <c r="AK98" s="253"/>
      <c r="AL98" s="259"/>
      <c r="AM98" s="258"/>
      <c r="AN98" s="260"/>
      <c r="AO98" s="259"/>
      <c r="AP98" s="258"/>
      <c r="AQ98" s="260"/>
      <c r="AR98" s="259"/>
      <c r="AS98" s="258"/>
      <c r="AT98" s="260"/>
      <c r="AU98" s="259"/>
      <c r="AV98" s="258"/>
      <c r="AW98" s="252"/>
      <c r="AX98" s="257"/>
      <c r="AY98" s="252"/>
      <c r="AZ98" s="259"/>
      <c r="BA98" s="258"/>
      <c r="BB98" s="260"/>
      <c r="BC98" s="259"/>
      <c r="BD98" s="258"/>
      <c r="BE98" s="260"/>
      <c r="BF98" s="259"/>
      <c r="BG98" s="258"/>
      <c r="BH98" s="260"/>
      <c r="BI98" s="259"/>
      <c r="BJ98" s="258"/>
      <c r="BK98" s="252"/>
      <c r="BL98" s="257"/>
      <c r="BN98" s="259"/>
      <c r="BO98" s="258"/>
      <c r="BP98" s="260"/>
      <c r="BQ98" s="259"/>
      <c r="BR98" s="258"/>
      <c r="BS98" s="260"/>
      <c r="BT98" s="259"/>
      <c r="BU98" s="258"/>
      <c r="BV98" s="260"/>
      <c r="BW98" s="259"/>
      <c r="BX98" s="258"/>
      <c r="BY98" s="252"/>
      <c r="BZ98" s="257"/>
      <c r="CB98" s="259"/>
      <c r="CC98" s="258"/>
      <c r="CD98" s="260"/>
      <c r="CE98" s="259"/>
      <c r="CF98" s="258"/>
      <c r="CG98" s="260"/>
      <c r="CH98" s="259"/>
      <c r="CI98" s="258"/>
      <c r="CJ98" s="260"/>
      <c r="CK98" s="259"/>
      <c r="CL98" s="258"/>
      <c r="CM98" s="252"/>
      <c r="CN98" s="257"/>
    </row>
    <row r="99" spans="2:96" ht="29.25" thickBot="1" x14ac:dyDescent="0.25">
      <c r="B99" s="1345"/>
      <c r="C99" s="1231"/>
      <c r="D99" s="1215"/>
      <c r="E99" s="1303"/>
      <c r="F99" s="1304"/>
      <c r="G99" s="335" t="str">
        <f>+'Plan de Accion apoyo transversa'!X96</f>
        <v>Olimpiada deportiva de Tenis de mesa</v>
      </c>
      <c r="H99" s="1219"/>
      <c r="J99" s="1195"/>
      <c r="K99" s="1198"/>
      <c r="L99" s="1198"/>
      <c r="M99" s="1198"/>
      <c r="N99" s="1198"/>
      <c r="O99" s="1198"/>
      <c r="P99" s="229"/>
      <c r="Q99" s="1195"/>
      <c r="R99" s="1198"/>
      <c r="S99" s="1198"/>
      <c r="T99" s="1198"/>
      <c r="U99" s="1198"/>
      <c r="V99" s="1200"/>
      <c r="W99" s="229"/>
      <c r="X99" s="1195"/>
      <c r="Y99" s="1198"/>
      <c r="Z99" s="1198"/>
      <c r="AA99" s="1205"/>
      <c r="AB99" s="1205"/>
      <c r="AC99" s="1208"/>
      <c r="AD99" s="229"/>
      <c r="AE99" s="1195"/>
      <c r="AF99" s="1198"/>
      <c r="AG99" s="1198"/>
      <c r="AH99" s="1198"/>
      <c r="AI99" s="1200"/>
      <c r="AJ99" s="261"/>
      <c r="AK99" s="253"/>
      <c r="AL99" s="259"/>
      <c r="AM99" s="258"/>
      <c r="AN99" s="260"/>
      <c r="AO99" s="259"/>
      <c r="AP99" s="258"/>
      <c r="AQ99" s="260"/>
      <c r="AR99" s="259"/>
      <c r="AS99" s="258"/>
      <c r="AT99" s="260"/>
      <c r="AU99" s="259"/>
      <c r="AV99" s="258"/>
      <c r="AW99" s="252"/>
      <c r="AX99" s="257"/>
      <c r="AY99" s="252"/>
      <c r="AZ99" s="259"/>
      <c r="BA99" s="258"/>
      <c r="BB99" s="260"/>
      <c r="BC99" s="259"/>
      <c r="BD99" s="258"/>
      <c r="BE99" s="260"/>
      <c r="BF99" s="259"/>
      <c r="BG99" s="258"/>
      <c r="BH99" s="260"/>
      <c r="BI99" s="259"/>
      <c r="BJ99" s="258"/>
      <c r="BK99" s="252"/>
      <c r="BL99" s="257"/>
      <c r="BN99" s="259"/>
      <c r="BO99" s="258"/>
      <c r="BP99" s="260"/>
      <c r="BQ99" s="259"/>
      <c r="BR99" s="258"/>
      <c r="BS99" s="260"/>
      <c r="BT99" s="259"/>
      <c r="BU99" s="258"/>
      <c r="BV99" s="260"/>
      <c r="BW99" s="259"/>
      <c r="BX99" s="258"/>
      <c r="BY99" s="252"/>
      <c r="BZ99" s="257"/>
      <c r="CB99" s="259"/>
      <c r="CC99" s="258"/>
      <c r="CD99" s="260"/>
      <c r="CE99" s="259"/>
      <c r="CF99" s="258"/>
      <c r="CG99" s="260"/>
      <c r="CH99" s="259"/>
      <c r="CI99" s="258"/>
      <c r="CJ99" s="260"/>
      <c r="CK99" s="259"/>
      <c r="CL99" s="258"/>
      <c r="CM99" s="252"/>
      <c r="CN99" s="257"/>
    </row>
    <row r="100" spans="2:96" ht="29.25" thickBot="1" x14ac:dyDescent="0.25">
      <c r="B100" s="1345"/>
      <c r="C100" s="1231"/>
      <c r="D100" s="1215"/>
      <c r="E100" s="1303"/>
      <c r="F100" s="1304"/>
      <c r="G100" s="335" t="str">
        <f>+'Plan de Accion apoyo transversa'!X97</f>
        <v>Olimpiada deportiva de Bolos</v>
      </c>
      <c r="H100" s="1219"/>
      <c r="J100" s="1195"/>
      <c r="K100" s="1198"/>
      <c r="L100" s="1198"/>
      <c r="M100" s="1198"/>
      <c r="N100" s="1198"/>
      <c r="O100" s="1198"/>
      <c r="P100" s="229"/>
      <c r="Q100" s="1195"/>
      <c r="R100" s="1198"/>
      <c r="S100" s="1198"/>
      <c r="T100" s="1198"/>
      <c r="U100" s="1198"/>
      <c r="V100" s="1200"/>
      <c r="W100" s="229"/>
      <c r="X100" s="1195"/>
      <c r="Y100" s="1198"/>
      <c r="Z100" s="1198"/>
      <c r="AA100" s="1205"/>
      <c r="AB100" s="1205"/>
      <c r="AC100" s="1208"/>
      <c r="AD100" s="229"/>
      <c r="AE100" s="1195"/>
      <c r="AF100" s="1198"/>
      <c r="AG100" s="1198"/>
      <c r="AH100" s="1198"/>
      <c r="AI100" s="1200"/>
      <c r="AJ100" s="261"/>
      <c r="AK100" s="253"/>
      <c r="AL100" s="259"/>
      <c r="AM100" s="258"/>
      <c r="AN100" s="260"/>
      <c r="AO100" s="259"/>
      <c r="AP100" s="258"/>
      <c r="AQ100" s="260"/>
      <c r="AR100" s="259"/>
      <c r="AS100" s="258"/>
      <c r="AT100" s="260"/>
      <c r="AU100" s="259"/>
      <c r="AV100" s="258"/>
      <c r="AW100" s="252"/>
      <c r="AX100" s="257"/>
      <c r="AY100" s="252"/>
      <c r="AZ100" s="259"/>
      <c r="BA100" s="258"/>
      <c r="BB100" s="260"/>
      <c r="BC100" s="259"/>
      <c r="BD100" s="258"/>
      <c r="BE100" s="260"/>
      <c r="BF100" s="259"/>
      <c r="BG100" s="258"/>
      <c r="BH100" s="260"/>
      <c r="BI100" s="259"/>
      <c r="BJ100" s="258"/>
      <c r="BK100" s="252"/>
      <c r="BL100" s="257"/>
      <c r="BN100" s="259"/>
      <c r="BO100" s="258"/>
      <c r="BP100" s="260"/>
      <c r="BQ100" s="259"/>
      <c r="BR100" s="258"/>
      <c r="BS100" s="260"/>
      <c r="BT100" s="259"/>
      <c r="BU100" s="258"/>
      <c r="BV100" s="260"/>
      <c r="BW100" s="259"/>
      <c r="BX100" s="258"/>
      <c r="BY100" s="252"/>
      <c r="BZ100" s="257"/>
      <c r="CB100" s="259"/>
      <c r="CC100" s="258"/>
      <c r="CD100" s="260"/>
      <c r="CE100" s="259"/>
      <c r="CF100" s="258"/>
      <c r="CG100" s="260"/>
      <c r="CH100" s="259"/>
      <c r="CI100" s="258"/>
      <c r="CJ100" s="260"/>
      <c r="CK100" s="259"/>
      <c r="CL100" s="258"/>
      <c r="CM100" s="252"/>
      <c r="CN100" s="257"/>
    </row>
    <row r="101" spans="2:96" ht="20.25" thickBot="1" x14ac:dyDescent="0.25">
      <c r="B101" s="1345"/>
      <c r="C101" s="1231"/>
      <c r="D101" s="1215"/>
      <c r="E101" s="1303"/>
      <c r="F101" s="1304"/>
      <c r="G101" s="335" t="str">
        <f>+'Plan de Accion apoyo transversa'!X98</f>
        <v>Olimpiada deportiva de Billar</v>
      </c>
      <c r="H101" s="1219"/>
      <c r="J101" s="1195"/>
      <c r="K101" s="1198"/>
      <c r="L101" s="1198"/>
      <c r="M101" s="1198"/>
      <c r="N101" s="1198"/>
      <c r="O101" s="1198"/>
      <c r="P101" s="229"/>
      <c r="Q101" s="1195"/>
      <c r="R101" s="1198"/>
      <c r="S101" s="1198"/>
      <c r="T101" s="1198"/>
      <c r="U101" s="1198"/>
      <c r="V101" s="1200"/>
      <c r="W101" s="229"/>
      <c r="X101" s="1195"/>
      <c r="Y101" s="1198"/>
      <c r="Z101" s="1198"/>
      <c r="AA101" s="1205"/>
      <c r="AB101" s="1205"/>
      <c r="AC101" s="1208"/>
      <c r="AD101" s="229"/>
      <c r="AE101" s="1195"/>
      <c r="AF101" s="1198"/>
      <c r="AG101" s="1198"/>
      <c r="AH101" s="1198"/>
      <c r="AI101" s="1200"/>
      <c r="AJ101" s="261"/>
      <c r="AK101" s="253"/>
      <c r="AL101" s="259"/>
      <c r="AM101" s="258"/>
      <c r="AN101" s="260"/>
      <c r="AO101" s="259"/>
      <c r="AP101" s="258"/>
      <c r="AQ101" s="260"/>
      <c r="AR101" s="259"/>
      <c r="AS101" s="258"/>
      <c r="AT101" s="260"/>
      <c r="AU101" s="259"/>
      <c r="AV101" s="258"/>
      <c r="AW101" s="252"/>
      <c r="AX101" s="257"/>
      <c r="AY101" s="252"/>
      <c r="AZ101" s="259"/>
      <c r="BA101" s="258"/>
      <c r="BB101" s="260"/>
      <c r="BC101" s="259"/>
      <c r="BD101" s="258"/>
      <c r="BE101" s="260"/>
      <c r="BF101" s="259"/>
      <c r="BG101" s="258"/>
      <c r="BH101" s="260"/>
      <c r="BI101" s="259"/>
      <c r="BJ101" s="258"/>
      <c r="BK101" s="252"/>
      <c r="BL101" s="257"/>
      <c r="BN101" s="259"/>
      <c r="BO101" s="258"/>
      <c r="BP101" s="260"/>
      <c r="BQ101" s="259"/>
      <c r="BR101" s="258"/>
      <c r="BS101" s="260"/>
      <c r="BT101" s="259"/>
      <c r="BU101" s="258"/>
      <c r="BV101" s="260"/>
      <c r="BW101" s="259"/>
      <c r="BX101" s="258"/>
      <c r="BY101" s="252"/>
      <c r="BZ101" s="257"/>
      <c r="CB101" s="259"/>
      <c r="CC101" s="258"/>
      <c r="CD101" s="260"/>
      <c r="CE101" s="259"/>
      <c r="CF101" s="258"/>
      <c r="CG101" s="260"/>
      <c r="CH101" s="259"/>
      <c r="CI101" s="258"/>
      <c r="CJ101" s="260"/>
      <c r="CK101" s="259"/>
      <c r="CL101" s="258"/>
      <c r="CM101" s="252"/>
      <c r="CN101" s="257"/>
    </row>
    <row r="102" spans="2:96" ht="29.25" thickBot="1" x14ac:dyDescent="0.25">
      <c r="B102" s="1345"/>
      <c r="C102" s="1231"/>
      <c r="D102" s="1215"/>
      <c r="E102" s="1303"/>
      <c r="F102" s="1304"/>
      <c r="G102" s="335" t="str">
        <f>+'Plan de Accion apoyo transversa'!X99</f>
        <v>Vacaciones recreativas realizadas</v>
      </c>
      <c r="H102" s="1219"/>
      <c r="J102" s="1195"/>
      <c r="K102" s="1198"/>
      <c r="L102" s="1198"/>
      <c r="M102" s="1198"/>
      <c r="N102" s="1198"/>
      <c r="O102" s="1198"/>
      <c r="P102" s="229"/>
      <c r="Q102" s="1195"/>
      <c r="R102" s="1198"/>
      <c r="S102" s="1198"/>
      <c r="T102" s="1198"/>
      <c r="U102" s="1198"/>
      <c r="V102" s="1200"/>
      <c r="W102" s="229"/>
      <c r="X102" s="1195"/>
      <c r="Y102" s="1198"/>
      <c r="Z102" s="1198"/>
      <c r="AA102" s="1205"/>
      <c r="AB102" s="1205"/>
      <c r="AC102" s="1208"/>
      <c r="AD102" s="229"/>
      <c r="AE102" s="1195"/>
      <c r="AF102" s="1198"/>
      <c r="AG102" s="1198"/>
      <c r="AH102" s="1198"/>
      <c r="AI102" s="1200"/>
      <c r="AJ102" s="261"/>
      <c r="AK102" s="253"/>
      <c r="AL102" s="259"/>
      <c r="AM102" s="258"/>
      <c r="AN102" s="260"/>
      <c r="AO102" s="259"/>
      <c r="AP102" s="258"/>
      <c r="AQ102" s="260"/>
      <c r="AR102" s="259"/>
      <c r="AS102" s="258"/>
      <c r="AT102" s="260"/>
      <c r="AU102" s="259"/>
      <c r="AV102" s="258"/>
      <c r="AW102" s="252"/>
      <c r="AX102" s="257"/>
      <c r="AY102" s="252"/>
      <c r="AZ102" s="259"/>
      <c r="BA102" s="258"/>
      <c r="BB102" s="260"/>
      <c r="BC102" s="259"/>
      <c r="BD102" s="258"/>
      <c r="BE102" s="260"/>
      <c r="BF102" s="259"/>
      <c r="BG102" s="258"/>
      <c r="BH102" s="260"/>
      <c r="BI102" s="259"/>
      <c r="BJ102" s="258"/>
      <c r="BK102" s="252"/>
      <c r="BL102" s="257"/>
      <c r="BN102" s="259"/>
      <c r="BO102" s="258"/>
      <c r="BP102" s="260"/>
      <c r="BQ102" s="259"/>
      <c r="BR102" s="258"/>
      <c r="BS102" s="260"/>
      <c r="BT102" s="259"/>
      <c r="BU102" s="258"/>
      <c r="BV102" s="260"/>
      <c r="BW102" s="259"/>
      <c r="BX102" s="258"/>
      <c r="BY102" s="252"/>
      <c r="BZ102" s="257"/>
      <c r="CB102" s="259"/>
      <c r="CC102" s="258"/>
      <c r="CD102" s="260"/>
      <c r="CE102" s="259"/>
      <c r="CF102" s="258"/>
      <c r="CG102" s="260"/>
      <c r="CH102" s="259"/>
      <c r="CI102" s="258"/>
      <c r="CJ102" s="260"/>
      <c r="CK102" s="259"/>
      <c r="CL102" s="258"/>
      <c r="CM102" s="252"/>
      <c r="CN102" s="257"/>
    </row>
    <row r="103" spans="2:96" ht="29.25" thickBot="1" x14ac:dyDescent="0.25">
      <c r="B103" s="1345"/>
      <c r="C103" s="1231"/>
      <c r="D103" s="1215"/>
      <c r="E103" s="1303"/>
      <c r="F103" s="1304"/>
      <c r="G103" s="335" t="str">
        <f>+'Plan de Accion apoyo transversa'!X100</f>
        <v>Actividad día del niño realizada</v>
      </c>
      <c r="H103" s="1219"/>
      <c r="J103" s="1195"/>
      <c r="K103" s="1198"/>
      <c r="L103" s="1198"/>
      <c r="M103" s="1198"/>
      <c r="N103" s="1198"/>
      <c r="O103" s="1198"/>
      <c r="P103" s="229"/>
      <c r="Q103" s="1195"/>
      <c r="R103" s="1198"/>
      <c r="S103" s="1198"/>
      <c r="T103" s="1198"/>
      <c r="U103" s="1198"/>
      <c r="V103" s="1200"/>
      <c r="W103" s="229"/>
      <c r="X103" s="1195"/>
      <c r="Y103" s="1198"/>
      <c r="Z103" s="1198"/>
      <c r="AA103" s="1205"/>
      <c r="AB103" s="1205"/>
      <c r="AC103" s="1208"/>
      <c r="AD103" s="229"/>
      <c r="AE103" s="1195"/>
      <c r="AF103" s="1198"/>
      <c r="AG103" s="1198"/>
      <c r="AH103" s="1198"/>
      <c r="AI103" s="1200"/>
      <c r="AJ103" s="261"/>
      <c r="AK103" s="253"/>
      <c r="AL103" s="259"/>
      <c r="AM103" s="258"/>
      <c r="AN103" s="260"/>
      <c r="AO103" s="259"/>
      <c r="AP103" s="258"/>
      <c r="AQ103" s="260"/>
      <c r="AR103" s="259"/>
      <c r="AS103" s="258"/>
      <c r="AT103" s="260"/>
      <c r="AU103" s="259"/>
      <c r="AV103" s="258"/>
      <c r="AW103" s="252"/>
      <c r="AX103" s="257"/>
      <c r="AY103" s="252"/>
      <c r="AZ103" s="259"/>
      <c r="BA103" s="258"/>
      <c r="BB103" s="260"/>
      <c r="BC103" s="259"/>
      <c r="BD103" s="258"/>
      <c r="BE103" s="260"/>
      <c r="BF103" s="259"/>
      <c r="BG103" s="258"/>
      <c r="BH103" s="260"/>
      <c r="BI103" s="259"/>
      <c r="BJ103" s="258"/>
      <c r="BK103" s="252"/>
      <c r="BL103" s="257"/>
      <c r="BN103" s="259"/>
      <c r="BO103" s="258"/>
      <c r="BP103" s="260"/>
      <c r="BQ103" s="259"/>
      <c r="BR103" s="258"/>
      <c r="BS103" s="260"/>
      <c r="BT103" s="259"/>
      <c r="BU103" s="258"/>
      <c r="BV103" s="260"/>
      <c r="BW103" s="259"/>
      <c r="BX103" s="258"/>
      <c r="BY103" s="252"/>
      <c r="BZ103" s="257"/>
      <c r="CB103" s="259"/>
      <c r="CC103" s="258"/>
      <c r="CD103" s="260"/>
      <c r="CE103" s="259"/>
      <c r="CF103" s="258"/>
      <c r="CG103" s="260"/>
      <c r="CH103" s="259"/>
      <c r="CI103" s="258"/>
      <c r="CJ103" s="260"/>
      <c r="CK103" s="259"/>
      <c r="CL103" s="258"/>
      <c r="CM103" s="252"/>
      <c r="CN103" s="257"/>
    </row>
    <row r="104" spans="2:96" ht="29.25" thickBot="1" x14ac:dyDescent="0.25">
      <c r="B104" s="1345"/>
      <c r="C104" s="1231"/>
      <c r="D104" s="1215"/>
      <c r="E104" s="1303"/>
      <c r="F104" s="1304"/>
      <c r="G104" s="335" t="str">
        <f>+'Plan de Accion apoyo transversa'!X101</f>
        <v>Actividad cultural y artística de Cine realizada</v>
      </c>
      <c r="H104" s="1219"/>
      <c r="J104" s="1195"/>
      <c r="K104" s="1198"/>
      <c r="L104" s="1198"/>
      <c r="M104" s="1198"/>
      <c r="N104" s="1198"/>
      <c r="O104" s="1198"/>
      <c r="P104" s="229"/>
      <c r="Q104" s="1195"/>
      <c r="R104" s="1198"/>
      <c r="S104" s="1198"/>
      <c r="T104" s="1198"/>
      <c r="U104" s="1198"/>
      <c r="V104" s="1200"/>
      <c r="W104" s="229"/>
      <c r="X104" s="1195"/>
      <c r="Y104" s="1198"/>
      <c r="Z104" s="1198"/>
      <c r="AA104" s="1205"/>
      <c r="AB104" s="1205"/>
      <c r="AC104" s="1208"/>
      <c r="AD104" s="229"/>
      <c r="AE104" s="1195"/>
      <c r="AF104" s="1198"/>
      <c r="AG104" s="1198"/>
      <c r="AH104" s="1198"/>
      <c r="AI104" s="1200"/>
      <c r="AJ104" s="261"/>
      <c r="AK104" s="253"/>
      <c r="AL104" s="259"/>
      <c r="AM104" s="258"/>
      <c r="AN104" s="260"/>
      <c r="AO104" s="259"/>
      <c r="AP104" s="258"/>
      <c r="AQ104" s="260"/>
      <c r="AR104" s="259"/>
      <c r="AS104" s="258"/>
      <c r="AT104" s="260"/>
      <c r="AU104" s="259"/>
      <c r="AV104" s="258"/>
      <c r="AW104" s="252"/>
      <c r="AX104" s="257"/>
      <c r="AY104" s="252"/>
      <c r="AZ104" s="259"/>
      <c r="BA104" s="258"/>
      <c r="BB104" s="260"/>
      <c r="BC104" s="259"/>
      <c r="BD104" s="258"/>
      <c r="BE104" s="260"/>
      <c r="BF104" s="259"/>
      <c r="BG104" s="258"/>
      <c r="BH104" s="260"/>
      <c r="BI104" s="259"/>
      <c r="BJ104" s="258"/>
      <c r="BK104" s="252"/>
      <c r="BL104" s="257"/>
      <c r="BN104" s="259"/>
      <c r="BO104" s="258"/>
      <c r="BP104" s="260"/>
      <c r="BQ104" s="259"/>
      <c r="BR104" s="258"/>
      <c r="BS104" s="260"/>
      <c r="BT104" s="259"/>
      <c r="BU104" s="258"/>
      <c r="BV104" s="260"/>
      <c r="BW104" s="259"/>
      <c r="BX104" s="258"/>
      <c r="BY104" s="252"/>
      <c r="BZ104" s="257"/>
      <c r="CB104" s="259"/>
      <c r="CC104" s="258"/>
      <c r="CD104" s="260"/>
      <c r="CE104" s="259"/>
      <c r="CF104" s="258"/>
      <c r="CG104" s="260"/>
      <c r="CH104" s="259"/>
      <c r="CI104" s="258"/>
      <c r="CJ104" s="260"/>
      <c r="CK104" s="259"/>
      <c r="CL104" s="258"/>
      <c r="CM104" s="252"/>
      <c r="CN104" s="257"/>
    </row>
    <row r="105" spans="2:96" ht="61.5" customHeight="1" thickBot="1" x14ac:dyDescent="0.25">
      <c r="B105" s="1345"/>
      <c r="C105" s="1231"/>
      <c r="D105" s="1215"/>
      <c r="E105" s="1303"/>
      <c r="F105" s="1304"/>
      <c r="G105" s="335" t="str">
        <f>+'Plan de Accion apoyo transversa'!X102</f>
        <v>Actividad cultural y artística de Taller de cocina realizada</v>
      </c>
      <c r="H105" s="1219"/>
      <c r="J105" s="1195"/>
      <c r="K105" s="1198"/>
      <c r="L105" s="1198"/>
      <c r="M105" s="1198"/>
      <c r="N105" s="1198"/>
      <c r="O105" s="1198"/>
      <c r="P105" s="229"/>
      <c r="Q105" s="1195"/>
      <c r="R105" s="1198"/>
      <c r="S105" s="1198"/>
      <c r="T105" s="1198"/>
      <c r="U105" s="1198"/>
      <c r="V105" s="1200"/>
      <c r="W105" s="229"/>
      <c r="X105" s="1195"/>
      <c r="Y105" s="1198"/>
      <c r="Z105" s="1198"/>
      <c r="AA105" s="1205"/>
      <c r="AB105" s="1205"/>
      <c r="AC105" s="1208"/>
      <c r="AD105" s="229"/>
      <c r="AE105" s="1195"/>
      <c r="AF105" s="1198"/>
      <c r="AG105" s="1198"/>
      <c r="AH105" s="1198"/>
      <c r="AI105" s="1200"/>
      <c r="AJ105" s="261"/>
      <c r="AK105" s="253"/>
      <c r="AL105" s="259"/>
      <c r="AM105" s="258"/>
      <c r="AN105" s="260"/>
      <c r="AO105" s="259"/>
      <c r="AP105" s="258"/>
      <c r="AQ105" s="260"/>
      <c r="AR105" s="259"/>
      <c r="AS105" s="258"/>
      <c r="AT105" s="260"/>
      <c r="AU105" s="259"/>
      <c r="AV105" s="258"/>
      <c r="AW105" s="252"/>
      <c r="AX105" s="257"/>
      <c r="AY105" s="252"/>
      <c r="AZ105" s="259"/>
      <c r="BA105" s="258"/>
      <c r="BB105" s="260"/>
      <c r="BC105" s="259"/>
      <c r="BD105" s="258"/>
      <c r="BE105" s="260"/>
      <c r="BF105" s="259"/>
      <c r="BG105" s="258"/>
      <c r="BH105" s="260"/>
      <c r="BI105" s="259"/>
      <c r="BJ105" s="258"/>
      <c r="BK105" s="252"/>
      <c r="BL105" s="257"/>
      <c r="BN105" s="259"/>
      <c r="BO105" s="258"/>
      <c r="BP105" s="260"/>
      <c r="BQ105" s="259"/>
      <c r="BR105" s="258"/>
      <c r="BS105" s="260"/>
      <c r="BT105" s="259"/>
      <c r="BU105" s="258"/>
      <c r="BV105" s="260"/>
      <c r="BW105" s="259"/>
      <c r="BX105" s="258"/>
      <c r="BY105" s="252"/>
      <c r="BZ105" s="257"/>
      <c r="CB105" s="259"/>
      <c r="CC105" s="258"/>
      <c r="CD105" s="260"/>
      <c r="CE105" s="259"/>
      <c r="CF105" s="258"/>
      <c r="CG105" s="260"/>
      <c r="CH105" s="259"/>
      <c r="CI105" s="258"/>
      <c r="CJ105" s="260"/>
      <c r="CK105" s="259"/>
      <c r="CL105" s="258"/>
      <c r="CM105" s="252"/>
      <c r="CN105" s="257"/>
    </row>
    <row r="106" spans="2:96" ht="29.25" thickBot="1" x14ac:dyDescent="0.25">
      <c r="B106" s="1345"/>
      <c r="C106" s="1231"/>
      <c r="D106" s="1215"/>
      <c r="E106" s="1303"/>
      <c r="F106" s="1304"/>
      <c r="G106" s="335" t="str">
        <f>+'Plan de Accion apoyo transversa'!X103</f>
        <v>Actividad social de Dia de la familia realizada</v>
      </c>
      <c r="H106" s="1219"/>
      <c r="J106" s="1195"/>
      <c r="K106" s="1198"/>
      <c r="L106" s="1198"/>
      <c r="M106" s="1198"/>
      <c r="N106" s="1198"/>
      <c r="O106" s="1198"/>
      <c r="P106" s="229"/>
      <c r="Q106" s="1195"/>
      <c r="R106" s="1198"/>
      <c r="S106" s="1198"/>
      <c r="T106" s="1198"/>
      <c r="U106" s="1198"/>
      <c r="V106" s="1200"/>
      <c r="W106" s="229"/>
      <c r="X106" s="1195"/>
      <c r="Y106" s="1198"/>
      <c r="Z106" s="1198"/>
      <c r="AA106" s="1205"/>
      <c r="AB106" s="1205"/>
      <c r="AC106" s="1208"/>
      <c r="AD106" s="229"/>
      <c r="AE106" s="1195"/>
      <c r="AF106" s="1198"/>
      <c r="AG106" s="1198"/>
      <c r="AH106" s="1198"/>
      <c r="AI106" s="1200"/>
      <c r="AJ106" s="261"/>
      <c r="AK106" s="253"/>
      <c r="AL106" s="259"/>
      <c r="AM106" s="258"/>
      <c r="AN106" s="260"/>
      <c r="AO106" s="259"/>
      <c r="AP106" s="258"/>
      <c r="AQ106" s="260"/>
      <c r="AR106" s="259"/>
      <c r="AS106" s="258"/>
      <c r="AT106" s="260"/>
      <c r="AU106" s="259"/>
      <c r="AV106" s="258"/>
      <c r="AW106" s="252"/>
      <c r="AX106" s="257"/>
      <c r="AY106" s="252"/>
      <c r="AZ106" s="259"/>
      <c r="BA106" s="258"/>
      <c r="BB106" s="260"/>
      <c r="BC106" s="259"/>
      <c r="BD106" s="258"/>
      <c r="BE106" s="260"/>
      <c r="BF106" s="259"/>
      <c r="BG106" s="258"/>
      <c r="BH106" s="260"/>
      <c r="BI106" s="259"/>
      <c r="BJ106" s="258"/>
      <c r="BK106" s="252"/>
      <c r="BL106" s="257"/>
      <c r="BN106" s="259"/>
      <c r="BO106" s="258"/>
      <c r="BP106" s="260"/>
      <c r="BQ106" s="259"/>
      <c r="BR106" s="258"/>
      <c r="BS106" s="260"/>
      <c r="BT106" s="259"/>
      <c r="BU106" s="258"/>
      <c r="BV106" s="260"/>
      <c r="BW106" s="259"/>
      <c r="BX106" s="258"/>
      <c r="BY106" s="252"/>
      <c r="BZ106" s="257"/>
      <c r="CB106" s="259"/>
      <c r="CC106" s="258"/>
      <c r="CD106" s="260"/>
      <c r="CE106" s="259"/>
      <c r="CF106" s="258"/>
      <c r="CG106" s="260"/>
      <c r="CH106" s="259"/>
      <c r="CI106" s="258"/>
      <c r="CJ106" s="260"/>
      <c r="CK106" s="259"/>
      <c r="CL106" s="258"/>
      <c r="CM106" s="252"/>
      <c r="CN106" s="257"/>
    </row>
    <row r="107" spans="2:96" ht="43.5" thickBot="1" x14ac:dyDescent="0.25">
      <c r="B107" s="1345"/>
      <c r="C107" s="1231"/>
      <c r="D107" s="1215"/>
      <c r="E107" s="1303"/>
      <c r="F107" s="1304"/>
      <c r="G107" s="335" t="str">
        <f>+'Plan de Accion apoyo transversa'!X104</f>
        <v>Actividad social de Dia Internacional de la Mujer realizada</v>
      </c>
      <c r="H107" s="1219"/>
      <c r="J107" s="1195"/>
      <c r="K107" s="1198"/>
      <c r="L107" s="1198"/>
      <c r="M107" s="1198"/>
      <c r="N107" s="1198"/>
      <c r="O107" s="1198"/>
      <c r="P107" s="229"/>
      <c r="Q107" s="1195"/>
      <c r="R107" s="1198"/>
      <c r="S107" s="1198"/>
      <c r="T107" s="1198"/>
      <c r="U107" s="1198"/>
      <c r="V107" s="1200"/>
      <c r="W107" s="229"/>
      <c r="X107" s="1195"/>
      <c r="Y107" s="1198"/>
      <c r="Z107" s="1198"/>
      <c r="AA107" s="1205"/>
      <c r="AB107" s="1205"/>
      <c r="AC107" s="1208"/>
      <c r="AD107" s="229"/>
      <c r="AE107" s="1195"/>
      <c r="AF107" s="1198"/>
      <c r="AG107" s="1198"/>
      <c r="AH107" s="1198"/>
      <c r="AI107" s="1200"/>
      <c r="AJ107" s="261"/>
      <c r="AK107" s="253"/>
      <c r="AL107" s="259"/>
      <c r="AM107" s="258"/>
      <c r="AN107" s="260"/>
      <c r="AO107" s="259"/>
      <c r="AP107" s="258"/>
      <c r="AQ107" s="260"/>
      <c r="AR107" s="259"/>
      <c r="AS107" s="258"/>
      <c r="AT107" s="260"/>
      <c r="AU107" s="259"/>
      <c r="AV107" s="258"/>
      <c r="AW107" s="252"/>
      <c r="AX107" s="257"/>
      <c r="AY107" s="252"/>
      <c r="AZ107" s="259"/>
      <c r="BA107" s="258"/>
      <c r="BB107" s="260"/>
      <c r="BC107" s="259"/>
      <c r="BD107" s="258"/>
      <c r="BE107" s="260"/>
      <c r="BF107" s="259"/>
      <c r="BG107" s="258"/>
      <c r="BH107" s="260"/>
      <c r="BI107" s="259"/>
      <c r="BJ107" s="258"/>
      <c r="BK107" s="252"/>
      <c r="BL107" s="257"/>
      <c r="BN107" s="259"/>
      <c r="BO107" s="258"/>
      <c r="BP107" s="260"/>
      <c r="BQ107" s="259"/>
      <c r="BR107" s="258"/>
      <c r="BS107" s="260"/>
      <c r="BT107" s="259"/>
      <c r="BU107" s="258"/>
      <c r="BV107" s="260"/>
      <c r="BW107" s="259"/>
      <c r="BX107" s="258"/>
      <c r="BY107" s="252"/>
      <c r="BZ107" s="257"/>
      <c r="CB107" s="259"/>
      <c r="CC107" s="258"/>
      <c r="CD107" s="260"/>
      <c r="CE107" s="259"/>
      <c r="CF107" s="258"/>
      <c r="CG107" s="260"/>
      <c r="CH107" s="259"/>
      <c r="CI107" s="258"/>
      <c r="CJ107" s="260"/>
      <c r="CK107" s="259"/>
      <c r="CL107" s="258"/>
      <c r="CM107" s="252"/>
      <c r="CN107" s="257"/>
      <c r="CR107" s="186" t="s">
        <v>1168</v>
      </c>
    </row>
    <row r="108" spans="2:96" s="189" customFormat="1" ht="53.25" customHeight="1" thickBot="1" x14ac:dyDescent="0.25">
      <c r="B108" s="1345"/>
      <c r="C108" s="1231"/>
      <c r="D108" s="1215"/>
      <c r="E108" s="1303"/>
      <c r="F108" s="1304"/>
      <c r="G108" s="335" t="str">
        <f>+'Plan de Accion apoyo transversa'!X105</f>
        <v>Actividades de navidad (novenas del 16 al 20 de diciembre de 2019) realizadas</v>
      </c>
      <c r="H108" s="1219"/>
      <c r="I108" s="190"/>
      <c r="J108" s="1195"/>
      <c r="K108" s="1198"/>
      <c r="L108" s="1198"/>
      <c r="M108" s="1198"/>
      <c r="N108" s="1198"/>
      <c r="O108" s="1198"/>
      <c r="P108" s="229"/>
      <c r="Q108" s="1195"/>
      <c r="R108" s="1198"/>
      <c r="S108" s="1198"/>
      <c r="T108" s="1198"/>
      <c r="U108" s="1198"/>
      <c r="V108" s="1200"/>
      <c r="W108" s="229"/>
      <c r="X108" s="1195"/>
      <c r="Y108" s="1198"/>
      <c r="Z108" s="1198"/>
      <c r="AA108" s="1205"/>
      <c r="AB108" s="1205"/>
      <c r="AC108" s="1208"/>
      <c r="AD108" s="229"/>
      <c r="AE108" s="1195"/>
      <c r="AF108" s="1198"/>
      <c r="AG108" s="1198"/>
      <c r="AH108" s="1198"/>
      <c r="AI108" s="1200"/>
      <c r="AJ108" s="265"/>
      <c r="AK108" s="250"/>
      <c r="AL108" s="264"/>
      <c r="AM108" s="263"/>
      <c r="AN108" s="249"/>
      <c r="AO108" s="264"/>
      <c r="AP108" s="263"/>
      <c r="AQ108" s="249"/>
      <c r="AR108" s="264"/>
      <c r="AS108" s="263"/>
      <c r="AT108" s="249"/>
      <c r="AU108" s="264"/>
      <c r="AV108" s="263"/>
      <c r="AW108" s="249"/>
      <c r="AX108" s="262"/>
      <c r="AY108" s="249"/>
      <c r="AZ108" s="264"/>
      <c r="BA108" s="263"/>
      <c r="BB108" s="249"/>
      <c r="BC108" s="264"/>
      <c r="BD108" s="263"/>
      <c r="BE108" s="249"/>
      <c r="BF108" s="264"/>
      <c r="BG108" s="263"/>
      <c r="BH108" s="249"/>
      <c r="BI108" s="264"/>
      <c r="BJ108" s="263"/>
      <c r="BK108" s="249"/>
      <c r="BL108" s="262"/>
      <c r="BN108" s="264"/>
      <c r="BO108" s="263"/>
      <c r="BP108" s="249"/>
      <c r="BQ108" s="264"/>
      <c r="BR108" s="263"/>
      <c r="BS108" s="249"/>
      <c r="BT108" s="264"/>
      <c r="BU108" s="263"/>
      <c r="BV108" s="249"/>
      <c r="BW108" s="264"/>
      <c r="BX108" s="263"/>
      <c r="BY108" s="249"/>
      <c r="BZ108" s="262"/>
      <c r="CB108" s="264"/>
      <c r="CC108" s="263"/>
      <c r="CD108" s="249"/>
      <c r="CE108" s="264"/>
      <c r="CF108" s="263"/>
      <c r="CG108" s="249"/>
      <c r="CH108" s="264"/>
      <c r="CI108" s="263"/>
      <c r="CJ108" s="249"/>
      <c r="CK108" s="264"/>
      <c r="CL108" s="263"/>
      <c r="CM108" s="249"/>
      <c r="CN108" s="262"/>
    </row>
    <row r="109" spans="2:96" s="189" customFormat="1" ht="29.25" thickBot="1" x14ac:dyDescent="0.25">
      <c r="B109" s="1345"/>
      <c r="C109" s="1231"/>
      <c r="D109" s="1215"/>
      <c r="E109" s="1303"/>
      <c r="F109" s="1304"/>
      <c r="G109" s="335" t="str">
        <f>+'Plan de Accion apoyo transversa'!X106</f>
        <v>Actividad social de Dia del servidor público realizada</v>
      </c>
      <c r="H109" s="1219"/>
      <c r="I109" s="190"/>
      <c r="J109" s="1195"/>
      <c r="K109" s="1198"/>
      <c r="L109" s="1198"/>
      <c r="M109" s="1198"/>
      <c r="N109" s="1198"/>
      <c r="O109" s="1198"/>
      <c r="P109" s="229"/>
      <c r="Q109" s="1195"/>
      <c r="R109" s="1198"/>
      <c r="S109" s="1198"/>
      <c r="T109" s="1198"/>
      <c r="U109" s="1198"/>
      <c r="V109" s="1200"/>
      <c r="W109" s="229"/>
      <c r="X109" s="1195"/>
      <c r="Y109" s="1198"/>
      <c r="Z109" s="1198"/>
      <c r="AA109" s="1205"/>
      <c r="AB109" s="1205"/>
      <c r="AC109" s="1208"/>
      <c r="AD109" s="229"/>
      <c r="AE109" s="1195"/>
      <c r="AF109" s="1198"/>
      <c r="AG109" s="1198"/>
      <c r="AH109" s="1198"/>
      <c r="AI109" s="1200"/>
      <c r="AJ109" s="265"/>
      <c r="AK109" s="250"/>
      <c r="AL109" s="264"/>
      <c r="AM109" s="263"/>
      <c r="AN109" s="249"/>
      <c r="AO109" s="264"/>
      <c r="AP109" s="263"/>
      <c r="AQ109" s="249"/>
      <c r="AR109" s="264"/>
      <c r="AS109" s="263"/>
      <c r="AT109" s="249"/>
      <c r="AU109" s="264"/>
      <c r="AV109" s="263"/>
      <c r="AW109" s="249"/>
      <c r="AX109" s="262"/>
      <c r="AY109" s="249"/>
      <c r="AZ109" s="264"/>
      <c r="BA109" s="263"/>
      <c r="BB109" s="249"/>
      <c r="BC109" s="264"/>
      <c r="BD109" s="263"/>
      <c r="BE109" s="249"/>
      <c r="BF109" s="264"/>
      <c r="BG109" s="263"/>
      <c r="BH109" s="249"/>
      <c r="BI109" s="264"/>
      <c r="BJ109" s="263"/>
      <c r="BK109" s="249"/>
      <c r="BL109" s="262"/>
      <c r="BN109" s="264"/>
      <c r="BO109" s="263"/>
      <c r="BP109" s="249"/>
      <c r="BQ109" s="264"/>
      <c r="BR109" s="263"/>
      <c r="BS109" s="249"/>
      <c r="BT109" s="264"/>
      <c r="BU109" s="263"/>
      <c r="BV109" s="249"/>
      <c r="BW109" s="264"/>
      <c r="BX109" s="263"/>
      <c r="BY109" s="249"/>
      <c r="BZ109" s="262"/>
      <c r="CB109" s="264"/>
      <c r="CC109" s="263"/>
      <c r="CD109" s="249"/>
      <c r="CE109" s="264"/>
      <c r="CF109" s="263"/>
      <c r="CG109" s="249"/>
      <c r="CH109" s="264"/>
      <c r="CI109" s="263"/>
      <c r="CJ109" s="249"/>
      <c r="CK109" s="264"/>
      <c r="CL109" s="263"/>
      <c r="CM109" s="249"/>
      <c r="CN109" s="262"/>
    </row>
    <row r="110" spans="2:96" s="189" customFormat="1" ht="29.25" thickBot="1" x14ac:dyDescent="0.25">
      <c r="B110" s="1345"/>
      <c r="C110" s="1231"/>
      <c r="D110" s="1215"/>
      <c r="E110" s="1303"/>
      <c r="F110" s="1304"/>
      <c r="G110" s="335" t="str">
        <f>+'Plan de Accion apoyo transversa'!X107</f>
        <v>Plan prepensionados realizado</v>
      </c>
      <c r="H110" s="1219"/>
      <c r="I110" s="190"/>
      <c r="J110" s="1195"/>
      <c r="K110" s="1198"/>
      <c r="L110" s="1198"/>
      <c r="M110" s="1198"/>
      <c r="N110" s="1198"/>
      <c r="O110" s="1198"/>
      <c r="P110" s="229"/>
      <c r="Q110" s="1195"/>
      <c r="R110" s="1198"/>
      <c r="S110" s="1198"/>
      <c r="T110" s="1198"/>
      <c r="U110" s="1198"/>
      <c r="V110" s="1200"/>
      <c r="W110" s="229"/>
      <c r="X110" s="1195"/>
      <c r="Y110" s="1198"/>
      <c r="Z110" s="1198"/>
      <c r="AA110" s="1205"/>
      <c r="AB110" s="1205"/>
      <c r="AC110" s="1208"/>
      <c r="AD110" s="229"/>
      <c r="AE110" s="1195"/>
      <c r="AF110" s="1198"/>
      <c r="AG110" s="1198"/>
      <c r="AH110" s="1198"/>
      <c r="AI110" s="1200"/>
      <c r="AJ110" s="265"/>
      <c r="AK110" s="250"/>
      <c r="AL110" s="264"/>
      <c r="AM110" s="263"/>
      <c r="AN110" s="249"/>
      <c r="AO110" s="264"/>
      <c r="AP110" s="263"/>
      <c r="AQ110" s="249"/>
      <c r="AR110" s="264"/>
      <c r="AS110" s="263"/>
      <c r="AT110" s="249"/>
      <c r="AU110" s="264"/>
      <c r="AV110" s="263"/>
      <c r="AW110" s="249"/>
      <c r="AX110" s="262"/>
      <c r="AY110" s="249"/>
      <c r="AZ110" s="264"/>
      <c r="BA110" s="263"/>
      <c r="BB110" s="249"/>
      <c r="BC110" s="264"/>
      <c r="BD110" s="263"/>
      <c r="BE110" s="249"/>
      <c r="BF110" s="264"/>
      <c r="BG110" s="263"/>
      <c r="BH110" s="249"/>
      <c r="BI110" s="264"/>
      <c r="BJ110" s="263"/>
      <c r="BK110" s="249"/>
      <c r="BL110" s="262"/>
      <c r="BN110" s="264"/>
      <c r="BO110" s="263"/>
      <c r="BP110" s="249"/>
      <c r="BQ110" s="264"/>
      <c r="BR110" s="263"/>
      <c r="BS110" s="249"/>
      <c r="BT110" s="264"/>
      <c r="BU110" s="263"/>
      <c r="BV110" s="249"/>
      <c r="BW110" s="264"/>
      <c r="BX110" s="263"/>
      <c r="BY110" s="249"/>
      <c r="BZ110" s="262"/>
      <c r="CB110" s="264"/>
      <c r="CC110" s="263"/>
      <c r="CD110" s="249"/>
      <c r="CE110" s="264"/>
      <c r="CF110" s="263"/>
      <c r="CG110" s="249"/>
      <c r="CH110" s="264"/>
      <c r="CI110" s="263"/>
      <c r="CJ110" s="249"/>
      <c r="CK110" s="264"/>
      <c r="CL110" s="263"/>
      <c r="CM110" s="249"/>
      <c r="CN110" s="262"/>
    </row>
    <row r="111" spans="2:96" s="189" customFormat="1" ht="43.5" thickBot="1" x14ac:dyDescent="0.25">
      <c r="B111" s="1345"/>
      <c r="C111" s="1231"/>
      <c r="D111" s="1215"/>
      <c r="E111" s="1303"/>
      <c r="F111" s="1304"/>
      <c r="G111" s="335" t="str">
        <f>+'Plan de Accion apoyo transversa'!X108</f>
        <v>Jornada de salud sobre: Prevención cardiovascular realizada</v>
      </c>
      <c r="H111" s="1219"/>
      <c r="I111" s="190"/>
      <c r="J111" s="1195"/>
      <c r="K111" s="1198"/>
      <c r="L111" s="1198"/>
      <c r="M111" s="1198"/>
      <c r="N111" s="1198"/>
      <c r="O111" s="1198"/>
      <c r="P111" s="229"/>
      <c r="Q111" s="1195"/>
      <c r="R111" s="1198"/>
      <c r="S111" s="1198"/>
      <c r="T111" s="1198"/>
      <c r="U111" s="1198"/>
      <c r="V111" s="1200"/>
      <c r="W111" s="229"/>
      <c r="X111" s="1195"/>
      <c r="Y111" s="1198"/>
      <c r="Z111" s="1198"/>
      <c r="AA111" s="1205"/>
      <c r="AB111" s="1205"/>
      <c r="AC111" s="1208"/>
      <c r="AD111" s="229"/>
      <c r="AE111" s="1195"/>
      <c r="AF111" s="1198"/>
      <c r="AG111" s="1198"/>
      <c r="AH111" s="1198"/>
      <c r="AI111" s="1200"/>
      <c r="AJ111" s="265"/>
      <c r="AK111" s="250"/>
      <c r="AL111" s="264"/>
      <c r="AM111" s="263"/>
      <c r="AN111" s="249"/>
      <c r="AO111" s="264"/>
      <c r="AP111" s="263"/>
      <c r="AQ111" s="249"/>
      <c r="AR111" s="264"/>
      <c r="AS111" s="263"/>
      <c r="AT111" s="249"/>
      <c r="AU111" s="264"/>
      <c r="AV111" s="263"/>
      <c r="AW111" s="249"/>
      <c r="AX111" s="262"/>
      <c r="AY111" s="249"/>
      <c r="AZ111" s="264"/>
      <c r="BA111" s="263"/>
      <c r="BB111" s="249"/>
      <c r="BC111" s="264"/>
      <c r="BD111" s="263"/>
      <c r="BE111" s="249"/>
      <c r="BF111" s="264"/>
      <c r="BG111" s="263"/>
      <c r="BH111" s="249"/>
      <c r="BI111" s="264"/>
      <c r="BJ111" s="263"/>
      <c r="BK111" s="249"/>
      <c r="BL111" s="262"/>
      <c r="BN111" s="264"/>
      <c r="BO111" s="263"/>
      <c r="BP111" s="249"/>
      <c r="BQ111" s="264"/>
      <c r="BR111" s="263"/>
      <c r="BS111" s="249"/>
      <c r="BT111" s="264"/>
      <c r="BU111" s="263"/>
      <c r="BV111" s="249"/>
      <c r="BW111" s="264"/>
      <c r="BX111" s="263"/>
      <c r="BY111" s="249"/>
      <c r="BZ111" s="262"/>
      <c r="CB111" s="264"/>
      <c r="CC111" s="263"/>
      <c r="CD111" s="249"/>
      <c r="CE111" s="264"/>
      <c r="CF111" s="263"/>
      <c r="CG111" s="249"/>
      <c r="CH111" s="264"/>
      <c r="CI111" s="263"/>
      <c r="CJ111" s="249"/>
      <c r="CK111" s="264"/>
      <c r="CL111" s="263"/>
      <c r="CM111" s="249"/>
      <c r="CN111" s="262"/>
    </row>
    <row r="112" spans="2:96" s="189" customFormat="1" ht="29.25" thickBot="1" x14ac:dyDescent="0.25">
      <c r="B112" s="1345"/>
      <c r="C112" s="1231"/>
      <c r="D112" s="1215"/>
      <c r="E112" s="1303"/>
      <c r="F112" s="1304"/>
      <c r="G112" s="335" t="str">
        <f>+'Plan de Accion apoyo transversa'!X109</f>
        <v>Jornada de salud sobre: Pausas activas realizadas</v>
      </c>
      <c r="H112" s="1219"/>
      <c r="I112" s="190"/>
      <c r="J112" s="1195"/>
      <c r="K112" s="1198"/>
      <c r="L112" s="1198"/>
      <c r="M112" s="1198"/>
      <c r="N112" s="1198"/>
      <c r="O112" s="1198"/>
      <c r="P112" s="229"/>
      <c r="Q112" s="1195"/>
      <c r="R112" s="1198"/>
      <c r="S112" s="1198"/>
      <c r="T112" s="1198"/>
      <c r="U112" s="1198"/>
      <c r="V112" s="1200"/>
      <c r="W112" s="229"/>
      <c r="X112" s="1195"/>
      <c r="Y112" s="1198"/>
      <c r="Z112" s="1198"/>
      <c r="AA112" s="1205"/>
      <c r="AB112" s="1205"/>
      <c r="AC112" s="1208"/>
      <c r="AD112" s="229"/>
      <c r="AE112" s="1195"/>
      <c r="AF112" s="1198"/>
      <c r="AG112" s="1198"/>
      <c r="AH112" s="1198"/>
      <c r="AI112" s="1200"/>
      <c r="AJ112" s="265"/>
      <c r="AK112" s="250"/>
      <c r="AL112" s="264"/>
      <c r="AM112" s="263"/>
      <c r="AN112" s="249"/>
      <c r="AO112" s="264"/>
      <c r="AP112" s="263"/>
      <c r="AQ112" s="249"/>
      <c r="AR112" s="264"/>
      <c r="AS112" s="263"/>
      <c r="AT112" s="249"/>
      <c r="AU112" s="264"/>
      <c r="AV112" s="263"/>
      <c r="AW112" s="249"/>
      <c r="AX112" s="262"/>
      <c r="AY112" s="249"/>
      <c r="AZ112" s="264"/>
      <c r="BA112" s="263"/>
      <c r="BB112" s="249"/>
      <c r="BC112" s="264"/>
      <c r="BD112" s="263"/>
      <c r="BE112" s="249"/>
      <c r="BF112" s="264"/>
      <c r="BG112" s="263"/>
      <c r="BH112" s="249"/>
      <c r="BI112" s="264"/>
      <c r="BJ112" s="263"/>
      <c r="BK112" s="249"/>
      <c r="BL112" s="262"/>
      <c r="BN112" s="264"/>
      <c r="BO112" s="263"/>
      <c r="BP112" s="249"/>
      <c r="BQ112" s="264"/>
      <c r="BR112" s="263"/>
      <c r="BS112" s="249"/>
      <c r="BT112" s="264"/>
      <c r="BU112" s="263"/>
      <c r="BV112" s="249"/>
      <c r="BW112" s="264"/>
      <c r="BX112" s="263"/>
      <c r="BY112" s="249"/>
      <c r="BZ112" s="262"/>
      <c r="CB112" s="264"/>
      <c r="CC112" s="263"/>
      <c r="CD112" s="249"/>
      <c r="CE112" s="264"/>
      <c r="CF112" s="263"/>
      <c r="CG112" s="249"/>
      <c r="CH112" s="264"/>
      <c r="CI112" s="263"/>
      <c r="CJ112" s="249"/>
      <c r="CK112" s="264"/>
      <c r="CL112" s="263"/>
      <c r="CM112" s="249"/>
      <c r="CN112" s="262"/>
    </row>
    <row r="113" spans="2:92" s="189" customFormat="1" ht="29.25" thickBot="1" x14ac:dyDescent="0.25">
      <c r="B113" s="1345"/>
      <c r="C113" s="1231"/>
      <c r="D113" s="1215"/>
      <c r="E113" s="1303"/>
      <c r="F113" s="1304"/>
      <c r="G113" s="335" t="str">
        <f>+'Plan de Accion apoyo transversa'!X110</f>
        <v>Actividad de Incentivos realizada</v>
      </c>
      <c r="H113" s="1219"/>
      <c r="I113" s="190"/>
      <c r="J113" s="1195"/>
      <c r="K113" s="1198"/>
      <c r="L113" s="1198"/>
      <c r="M113" s="1198"/>
      <c r="N113" s="1198"/>
      <c r="O113" s="1198"/>
      <c r="P113" s="229"/>
      <c r="Q113" s="1195"/>
      <c r="R113" s="1198"/>
      <c r="S113" s="1198"/>
      <c r="T113" s="1198"/>
      <c r="U113" s="1198"/>
      <c r="V113" s="1200"/>
      <c r="W113" s="229"/>
      <c r="X113" s="1195"/>
      <c r="Y113" s="1198"/>
      <c r="Z113" s="1198"/>
      <c r="AA113" s="1205"/>
      <c r="AB113" s="1205"/>
      <c r="AC113" s="1208"/>
      <c r="AD113" s="229"/>
      <c r="AE113" s="1195"/>
      <c r="AF113" s="1198"/>
      <c r="AG113" s="1198"/>
      <c r="AH113" s="1198"/>
      <c r="AI113" s="1200"/>
      <c r="AJ113" s="265"/>
      <c r="AK113" s="250"/>
      <c r="AL113" s="264"/>
      <c r="AM113" s="263"/>
      <c r="AN113" s="249"/>
      <c r="AO113" s="264"/>
      <c r="AP113" s="263"/>
      <c r="AQ113" s="249"/>
      <c r="AR113" s="264"/>
      <c r="AS113" s="263"/>
      <c r="AT113" s="249"/>
      <c r="AU113" s="264"/>
      <c r="AV113" s="263"/>
      <c r="AW113" s="249"/>
      <c r="AX113" s="262"/>
      <c r="AY113" s="249"/>
      <c r="AZ113" s="264"/>
      <c r="BA113" s="263"/>
      <c r="BB113" s="249"/>
      <c r="BC113" s="264"/>
      <c r="BD113" s="263"/>
      <c r="BE113" s="249"/>
      <c r="BF113" s="264"/>
      <c r="BG113" s="263"/>
      <c r="BH113" s="249"/>
      <c r="BI113" s="264"/>
      <c r="BJ113" s="263"/>
      <c r="BK113" s="249"/>
      <c r="BL113" s="262"/>
      <c r="BN113" s="264"/>
      <c r="BO113" s="263"/>
      <c r="BP113" s="249"/>
      <c r="BQ113" s="264"/>
      <c r="BR113" s="263"/>
      <c r="BS113" s="249"/>
      <c r="BT113" s="264"/>
      <c r="BU113" s="263"/>
      <c r="BV113" s="249"/>
      <c r="BW113" s="264"/>
      <c r="BX113" s="263"/>
      <c r="BY113" s="249"/>
      <c r="BZ113" s="262"/>
      <c r="CB113" s="264"/>
      <c r="CC113" s="263"/>
      <c r="CD113" s="249"/>
      <c r="CE113" s="264"/>
      <c r="CF113" s="263"/>
      <c r="CG113" s="249"/>
      <c r="CH113" s="264"/>
      <c r="CI113" s="263"/>
      <c r="CJ113" s="249"/>
      <c r="CK113" s="264"/>
      <c r="CL113" s="263"/>
      <c r="CM113" s="249"/>
      <c r="CN113" s="262"/>
    </row>
    <row r="114" spans="2:92" s="189" customFormat="1" ht="29.25" thickBot="1" x14ac:dyDescent="0.25">
      <c r="B114" s="1345"/>
      <c r="C114" s="1231"/>
      <c r="D114" s="1215"/>
      <c r="E114" s="1303"/>
      <c r="F114" s="1304"/>
      <c r="G114" s="335" t="str">
        <f>+'Plan de Accion apoyo transversa'!X111</f>
        <v>Actividad de Cierre de gestión realizada</v>
      </c>
      <c r="H114" s="1219"/>
      <c r="I114" s="190"/>
      <c r="J114" s="1195"/>
      <c r="K114" s="1198"/>
      <c r="L114" s="1198"/>
      <c r="M114" s="1198"/>
      <c r="N114" s="1198"/>
      <c r="O114" s="1198"/>
      <c r="P114" s="229"/>
      <c r="Q114" s="1195"/>
      <c r="R114" s="1198"/>
      <c r="S114" s="1198"/>
      <c r="T114" s="1198"/>
      <c r="U114" s="1198"/>
      <c r="V114" s="1200"/>
      <c r="W114" s="229"/>
      <c r="X114" s="1195"/>
      <c r="Y114" s="1198"/>
      <c r="Z114" s="1198"/>
      <c r="AA114" s="1205"/>
      <c r="AB114" s="1205"/>
      <c r="AC114" s="1208"/>
      <c r="AD114" s="229"/>
      <c r="AE114" s="1195"/>
      <c r="AF114" s="1198"/>
      <c r="AG114" s="1198"/>
      <c r="AH114" s="1198"/>
      <c r="AI114" s="1200"/>
      <c r="AJ114" s="265"/>
      <c r="AK114" s="250"/>
      <c r="AL114" s="264"/>
      <c r="AM114" s="263"/>
      <c r="AN114" s="249"/>
      <c r="AO114" s="264"/>
      <c r="AP114" s="263"/>
      <c r="AQ114" s="249"/>
      <c r="AR114" s="264"/>
      <c r="AS114" s="263"/>
      <c r="AT114" s="249"/>
      <c r="AU114" s="264"/>
      <c r="AV114" s="263"/>
      <c r="AW114" s="249"/>
      <c r="AX114" s="262"/>
      <c r="AY114" s="249"/>
      <c r="AZ114" s="264"/>
      <c r="BA114" s="263"/>
      <c r="BB114" s="249"/>
      <c r="BC114" s="264"/>
      <c r="BD114" s="263"/>
      <c r="BE114" s="249"/>
      <c r="BF114" s="264"/>
      <c r="BG114" s="263"/>
      <c r="BH114" s="249"/>
      <c r="BI114" s="264"/>
      <c r="BJ114" s="263"/>
      <c r="BK114" s="249"/>
      <c r="BL114" s="262"/>
      <c r="BN114" s="264"/>
      <c r="BO114" s="263"/>
      <c r="BP114" s="249"/>
      <c r="BQ114" s="264"/>
      <c r="BR114" s="263"/>
      <c r="BS114" s="249"/>
      <c r="BT114" s="264"/>
      <c r="BU114" s="263"/>
      <c r="BV114" s="249"/>
      <c r="BW114" s="264"/>
      <c r="BX114" s="263"/>
      <c r="BY114" s="249"/>
      <c r="BZ114" s="262"/>
      <c r="CB114" s="264"/>
      <c r="CC114" s="263"/>
      <c r="CD114" s="249"/>
      <c r="CE114" s="264"/>
      <c r="CF114" s="263"/>
      <c r="CG114" s="249"/>
      <c r="CH114" s="264"/>
      <c r="CI114" s="263"/>
      <c r="CJ114" s="249"/>
      <c r="CK114" s="264"/>
      <c r="CL114" s="263"/>
      <c r="CM114" s="249"/>
      <c r="CN114" s="262"/>
    </row>
    <row r="115" spans="2:92" s="189" customFormat="1" ht="20.25" thickBot="1" x14ac:dyDescent="0.25">
      <c r="B115" s="1345"/>
      <c r="C115" s="1231"/>
      <c r="D115" s="1215"/>
      <c r="E115" s="1303"/>
      <c r="F115" s="1304"/>
      <c r="G115" s="585" t="str">
        <f>+'Plan de Accion apoyo transversa'!X112</f>
        <v>Gimnasio convenio</v>
      </c>
      <c r="H115" s="1219"/>
      <c r="I115" s="190"/>
      <c r="J115" s="1195"/>
      <c r="K115" s="1198"/>
      <c r="L115" s="1198"/>
      <c r="M115" s="1198"/>
      <c r="N115" s="1198"/>
      <c r="O115" s="1198"/>
      <c r="P115" s="229"/>
      <c r="Q115" s="1195"/>
      <c r="R115" s="1198"/>
      <c r="S115" s="1198"/>
      <c r="T115" s="1198"/>
      <c r="U115" s="1198"/>
      <c r="V115" s="1200"/>
      <c r="W115" s="229"/>
      <c r="X115" s="1195"/>
      <c r="Y115" s="1198"/>
      <c r="Z115" s="1198"/>
      <c r="AA115" s="1205"/>
      <c r="AB115" s="1205"/>
      <c r="AC115" s="1208"/>
      <c r="AD115" s="229"/>
      <c r="AE115" s="1195"/>
      <c r="AF115" s="1198"/>
      <c r="AG115" s="1198"/>
      <c r="AH115" s="1198"/>
      <c r="AI115" s="1200"/>
      <c r="AJ115" s="265"/>
      <c r="AK115" s="250"/>
      <c r="AL115" s="264"/>
      <c r="AM115" s="263"/>
      <c r="AN115" s="249"/>
      <c r="AO115" s="264"/>
      <c r="AP115" s="263"/>
      <c r="AQ115" s="249"/>
      <c r="AR115" s="264"/>
      <c r="AS115" s="263"/>
      <c r="AT115" s="249"/>
      <c r="AU115" s="264"/>
      <c r="AV115" s="263"/>
      <c r="AW115" s="249"/>
      <c r="AX115" s="262"/>
      <c r="AY115" s="249"/>
      <c r="AZ115" s="264"/>
      <c r="BA115" s="263"/>
      <c r="BB115" s="249"/>
      <c r="BC115" s="264"/>
      <c r="BD115" s="263"/>
      <c r="BE115" s="249"/>
      <c r="BF115" s="264"/>
      <c r="BG115" s="263"/>
      <c r="BH115" s="249"/>
      <c r="BI115" s="264"/>
      <c r="BJ115" s="263"/>
      <c r="BK115" s="249"/>
      <c r="BL115" s="262"/>
      <c r="BN115" s="264"/>
      <c r="BO115" s="263"/>
      <c r="BP115" s="249"/>
      <c r="BQ115" s="264"/>
      <c r="BR115" s="263"/>
      <c r="BS115" s="249"/>
      <c r="BT115" s="264"/>
      <c r="BU115" s="263"/>
      <c r="BV115" s="249"/>
      <c r="BW115" s="264"/>
      <c r="BX115" s="263"/>
      <c r="BY115" s="249"/>
      <c r="BZ115" s="262"/>
      <c r="CB115" s="264"/>
      <c r="CC115" s="263"/>
      <c r="CD115" s="249"/>
      <c r="CE115" s="264"/>
      <c r="CF115" s="263"/>
      <c r="CG115" s="249"/>
      <c r="CH115" s="264"/>
      <c r="CI115" s="263"/>
      <c r="CJ115" s="249"/>
      <c r="CK115" s="264"/>
      <c r="CL115" s="263"/>
      <c r="CM115" s="249"/>
      <c r="CN115" s="262"/>
    </row>
    <row r="116" spans="2:92" s="189" customFormat="1" ht="29.25" thickBot="1" x14ac:dyDescent="0.25">
      <c r="B116" s="1345"/>
      <c r="C116" s="1231"/>
      <c r="D116" s="1215"/>
      <c r="E116" s="1303"/>
      <c r="F116" s="1304"/>
      <c r="G116" s="585" t="str">
        <f>+'Plan de Accion apoyo transversa'!X99</f>
        <v>Vacaciones recreativas realizadas</v>
      </c>
      <c r="H116" s="1219"/>
      <c r="I116" s="190"/>
      <c r="J116" s="1196"/>
      <c r="K116" s="1199"/>
      <c r="L116" s="1199"/>
      <c r="M116" s="1199"/>
      <c r="N116" s="1199"/>
      <c r="O116" s="1199"/>
      <c r="P116" s="229"/>
      <c r="Q116" s="1196"/>
      <c r="R116" s="1199"/>
      <c r="S116" s="1199"/>
      <c r="T116" s="1199"/>
      <c r="U116" s="1199"/>
      <c r="V116" s="1193"/>
      <c r="W116" s="229"/>
      <c r="X116" s="1196"/>
      <c r="Y116" s="1199"/>
      <c r="Z116" s="1199"/>
      <c r="AA116" s="1206"/>
      <c r="AB116" s="1206"/>
      <c r="AC116" s="1209"/>
      <c r="AD116" s="229"/>
      <c r="AE116" s="1196"/>
      <c r="AF116" s="1199"/>
      <c r="AG116" s="1199"/>
      <c r="AH116" s="1199"/>
      <c r="AI116" s="1193"/>
      <c r="AJ116" s="265"/>
      <c r="AK116" s="250"/>
      <c r="AL116" s="264"/>
      <c r="AM116" s="263"/>
      <c r="AN116" s="249"/>
      <c r="AO116" s="264"/>
      <c r="AP116" s="263"/>
      <c r="AQ116" s="249"/>
      <c r="AR116" s="264"/>
      <c r="AS116" s="263"/>
      <c r="AT116" s="249"/>
      <c r="AU116" s="264"/>
      <c r="AV116" s="263"/>
      <c r="AW116" s="249"/>
      <c r="AX116" s="262"/>
      <c r="AY116" s="249"/>
      <c r="AZ116" s="264"/>
      <c r="BA116" s="263"/>
      <c r="BB116" s="249"/>
      <c r="BC116" s="264"/>
      <c r="BD116" s="263"/>
      <c r="BE116" s="249"/>
      <c r="BF116" s="264"/>
      <c r="BG116" s="263"/>
      <c r="BH116" s="249"/>
      <c r="BI116" s="264"/>
      <c r="BJ116" s="263"/>
      <c r="BK116" s="249"/>
      <c r="BL116" s="262"/>
      <c r="BN116" s="264"/>
      <c r="BO116" s="263"/>
      <c r="BP116" s="249"/>
      <c r="BQ116" s="264"/>
      <c r="BR116" s="263"/>
      <c r="BS116" s="249"/>
      <c r="BT116" s="264"/>
      <c r="BU116" s="263"/>
      <c r="BV116" s="249"/>
      <c r="BW116" s="264"/>
      <c r="BX116" s="263"/>
      <c r="BY116" s="249"/>
      <c r="BZ116" s="262"/>
      <c r="CB116" s="264"/>
      <c r="CC116" s="263"/>
      <c r="CD116" s="249"/>
      <c r="CE116" s="264"/>
      <c r="CF116" s="263"/>
      <c r="CG116" s="249"/>
      <c r="CH116" s="264"/>
      <c r="CI116" s="263"/>
      <c r="CJ116" s="249"/>
      <c r="CK116" s="264"/>
      <c r="CL116" s="263"/>
      <c r="CM116" s="249"/>
      <c r="CN116" s="262"/>
    </row>
    <row r="117" spans="2:92" s="189" customFormat="1" ht="29.25" thickBot="1" x14ac:dyDescent="0.25">
      <c r="B117" s="1345"/>
      <c r="C117" s="1231"/>
      <c r="D117" s="1215"/>
      <c r="E117" s="1303"/>
      <c r="F117" s="1304"/>
      <c r="G117" s="335" t="str">
        <f>+'Plan de Accion apoyo transversa'!X114</f>
        <v>Medición del clima laboral realizada</v>
      </c>
      <c r="H117" s="1219"/>
      <c r="I117" s="190"/>
      <c r="J117" s="230" t="e">
        <f>+'Plan de Accion apoyo transversa'!AW114</f>
        <v>#DIV/0!</v>
      </c>
      <c r="K117" s="503" t="str">
        <f>+'Plan de Accion apoyo transversa'!CF114</f>
        <v>No Prog ni Ejec</v>
      </c>
      <c r="L117" s="503" t="s">
        <v>204</v>
      </c>
      <c r="M117" s="732" t="s">
        <v>204</v>
      </c>
      <c r="N117" s="732" t="s">
        <v>204</v>
      </c>
      <c r="O117" s="503" t="s">
        <v>204</v>
      </c>
      <c r="P117" s="229"/>
      <c r="Q117" s="230" t="e">
        <f>+'Plan de Accion apoyo transversa'!BG114</f>
        <v>#DIV/0!</v>
      </c>
      <c r="R117" s="266" t="str">
        <f>+'Plan de Accion apoyo transversa'!CH114</f>
        <v>No Prog ni Ejec</v>
      </c>
      <c r="S117" s="228" t="s">
        <v>204</v>
      </c>
      <c r="T117" s="324" t="s">
        <v>204</v>
      </c>
      <c r="U117" s="324" t="s">
        <v>204</v>
      </c>
      <c r="V117" s="227" t="s">
        <v>204</v>
      </c>
      <c r="W117" s="229"/>
      <c r="X117" s="230" t="e">
        <f>+'Plan de Accion apoyo transversa'!BQ114</f>
        <v>#DIV/0!</v>
      </c>
      <c r="Y117" s="266" t="s">
        <v>180</v>
      </c>
      <c r="Z117" s="228" t="s">
        <v>204</v>
      </c>
      <c r="AA117" s="233" t="s">
        <v>204</v>
      </c>
      <c r="AB117" s="233" t="s">
        <v>204</v>
      </c>
      <c r="AC117" s="322" t="s">
        <v>204</v>
      </c>
      <c r="AD117" s="229"/>
      <c r="AE117" s="230" t="e">
        <f>+'Plan de Accion apoyo transversa'!CA114</f>
        <v>#DIV/0!</v>
      </c>
      <c r="AF117" s="266" t="str">
        <f>+'Plan de Accion apoyo transversa'!CL114</f>
        <v>No Prog ni Ejec</v>
      </c>
      <c r="AG117" s="228" t="s">
        <v>204</v>
      </c>
      <c r="AH117" s="266" t="s">
        <v>204</v>
      </c>
      <c r="AI117" s="227" t="s">
        <v>204</v>
      </c>
      <c r="AJ117" s="265"/>
      <c r="AK117" s="250"/>
      <c r="AL117" s="264"/>
      <c r="AM117" s="263"/>
      <c r="AN117" s="249"/>
      <c r="AO117" s="264"/>
      <c r="AP117" s="263"/>
      <c r="AQ117" s="249"/>
      <c r="AR117" s="264"/>
      <c r="AS117" s="263"/>
      <c r="AT117" s="249"/>
      <c r="AU117" s="264"/>
      <c r="AV117" s="263"/>
      <c r="AW117" s="249"/>
      <c r="AX117" s="262"/>
      <c r="AY117" s="249"/>
      <c r="AZ117" s="264"/>
      <c r="BA117" s="263"/>
      <c r="BB117" s="249"/>
      <c r="BC117" s="264"/>
      <c r="BD117" s="263"/>
      <c r="BE117" s="249"/>
      <c r="BF117" s="264"/>
      <c r="BG117" s="263"/>
      <c r="BH117" s="249"/>
      <c r="BI117" s="264"/>
      <c r="BJ117" s="263"/>
      <c r="BK117" s="249"/>
      <c r="BL117" s="262"/>
      <c r="BN117" s="264"/>
      <c r="BO117" s="263"/>
      <c r="BP117" s="249"/>
      <c r="BQ117" s="264"/>
      <c r="BR117" s="263"/>
      <c r="BS117" s="249"/>
      <c r="BT117" s="264"/>
      <c r="BU117" s="263"/>
      <c r="BV117" s="249"/>
      <c r="BW117" s="264"/>
      <c r="BX117" s="263"/>
      <c r="BY117" s="249"/>
      <c r="BZ117" s="262"/>
      <c r="CB117" s="264"/>
      <c r="CC117" s="263"/>
      <c r="CD117" s="249"/>
      <c r="CE117" s="264"/>
      <c r="CF117" s="263"/>
      <c r="CG117" s="249"/>
      <c r="CH117" s="264"/>
      <c r="CI117" s="263"/>
      <c r="CJ117" s="249"/>
      <c r="CK117" s="264"/>
      <c r="CL117" s="263"/>
      <c r="CM117" s="249"/>
      <c r="CN117" s="262"/>
    </row>
    <row r="118" spans="2:92" s="189" customFormat="1" ht="29.25" thickBot="1" x14ac:dyDescent="0.25">
      <c r="B118" s="1345"/>
      <c r="C118" s="1231"/>
      <c r="D118" s="1215"/>
      <c r="E118" s="1303"/>
      <c r="F118" s="1304"/>
      <c r="G118" s="335" t="str">
        <f>+'Plan de Accion apoyo transversa'!X115</f>
        <v>Jornada de salud sobre: Salud visual realizada</v>
      </c>
      <c r="H118" s="1219"/>
      <c r="I118" s="190"/>
      <c r="J118" s="230" t="e">
        <f>+'Plan de Accion apoyo transversa'!AW115</f>
        <v>#DIV/0!</v>
      </c>
      <c r="K118" s="503" t="str">
        <f>+'Plan de Accion apoyo transversa'!CF115</f>
        <v>No Prog ni Ejec</v>
      </c>
      <c r="L118" s="503" t="s">
        <v>204</v>
      </c>
      <c r="M118" s="503">
        <f>+'Plan de Accion apoyo transversa'!AY115</f>
        <v>0</v>
      </c>
      <c r="N118" s="503">
        <f t="shared" si="49"/>
        <v>0</v>
      </c>
      <c r="O118" s="503" t="s">
        <v>204</v>
      </c>
      <c r="P118" s="229"/>
      <c r="Q118" s="230" t="s">
        <v>204</v>
      </c>
      <c r="R118" s="266" t="s">
        <v>180</v>
      </c>
      <c r="S118" s="228" t="s">
        <v>204</v>
      </c>
      <c r="T118" s="324" t="s">
        <v>204</v>
      </c>
      <c r="U118" s="324" t="s">
        <v>204</v>
      </c>
      <c r="V118" s="227" t="str">
        <f t="shared" si="55"/>
        <v>N.A</v>
      </c>
      <c r="W118" s="229"/>
      <c r="X118" s="230" t="s">
        <v>204</v>
      </c>
      <c r="Y118" s="266" t="str">
        <f>+'Plan de Accion apoyo transversa'!CJ115</f>
        <v>No Prog ni Ejec</v>
      </c>
      <c r="Z118" s="228" t="s">
        <v>204</v>
      </c>
      <c r="AA118" s="233" t="s">
        <v>204</v>
      </c>
      <c r="AB118" s="233" t="s">
        <v>204</v>
      </c>
      <c r="AC118" s="322" t="str">
        <f t="shared" ref="AC118:AC121" si="56">+AB118</f>
        <v>N.A</v>
      </c>
      <c r="AD118" s="229"/>
      <c r="AE118" s="230" t="s">
        <v>204</v>
      </c>
      <c r="AF118" s="266" t="s">
        <v>180</v>
      </c>
      <c r="AG118" s="228" t="s">
        <v>204</v>
      </c>
      <c r="AH118" s="266" t="s">
        <v>204</v>
      </c>
      <c r="AI118" s="227" t="s">
        <v>204</v>
      </c>
      <c r="AJ118" s="265"/>
      <c r="AK118" s="250"/>
      <c r="AL118" s="264"/>
      <c r="AM118" s="263"/>
      <c r="AN118" s="249"/>
      <c r="AO118" s="264"/>
      <c r="AP118" s="263"/>
      <c r="AQ118" s="249"/>
      <c r="AR118" s="264"/>
      <c r="AS118" s="263"/>
      <c r="AT118" s="249"/>
      <c r="AU118" s="264"/>
      <c r="AV118" s="263"/>
      <c r="AW118" s="249"/>
      <c r="AX118" s="262"/>
      <c r="AY118" s="249"/>
      <c r="AZ118" s="264"/>
      <c r="BA118" s="263"/>
      <c r="BB118" s="249"/>
      <c r="BC118" s="264"/>
      <c r="BD118" s="263"/>
      <c r="BE118" s="249"/>
      <c r="BF118" s="264"/>
      <c r="BG118" s="263"/>
      <c r="BH118" s="249"/>
      <c r="BI118" s="264"/>
      <c r="BJ118" s="263"/>
      <c r="BK118" s="249"/>
      <c r="BL118" s="262"/>
      <c r="BN118" s="264"/>
      <c r="BO118" s="263"/>
      <c r="BP118" s="249"/>
      <c r="BQ118" s="264"/>
      <c r="BR118" s="263"/>
      <c r="BS118" s="249"/>
      <c r="BT118" s="264"/>
      <c r="BU118" s="263"/>
      <c r="BV118" s="249"/>
      <c r="BW118" s="264"/>
      <c r="BX118" s="263"/>
      <c r="BY118" s="249"/>
      <c r="BZ118" s="262"/>
      <c r="CB118" s="264"/>
      <c r="CC118" s="263"/>
      <c r="CD118" s="249"/>
      <c r="CE118" s="264"/>
      <c r="CF118" s="263"/>
      <c r="CG118" s="249"/>
      <c r="CH118" s="264"/>
      <c r="CI118" s="263"/>
      <c r="CJ118" s="249"/>
      <c r="CK118" s="264"/>
      <c r="CL118" s="263"/>
      <c r="CM118" s="249"/>
      <c r="CN118" s="262"/>
    </row>
    <row r="119" spans="2:92" s="189" customFormat="1" ht="33.75" customHeight="1" thickBot="1" x14ac:dyDescent="0.25">
      <c r="B119" s="1345"/>
      <c r="C119" s="1231"/>
      <c r="D119" s="1215"/>
      <c r="E119" s="1303"/>
      <c r="F119" s="1304"/>
      <c r="G119" s="335" t="str">
        <f>+'Plan de Accion apoyo transversa'!X116</f>
        <v>Jornada de salud sobre: Salud Oral realizada</v>
      </c>
      <c r="H119" s="1219"/>
      <c r="I119" s="190"/>
      <c r="J119" s="230" t="e">
        <f>+'Plan de Accion apoyo transversa'!AW116</f>
        <v>#DIV/0!</v>
      </c>
      <c r="K119" s="503" t="str">
        <f>+'Plan de Accion apoyo transversa'!CF116</f>
        <v>No Prog ni Ejec</v>
      </c>
      <c r="L119" s="503" t="s">
        <v>204</v>
      </c>
      <c r="M119" s="503">
        <f>+'Plan de Accion apoyo transversa'!AY116</f>
        <v>0</v>
      </c>
      <c r="N119" s="503">
        <f t="shared" si="49"/>
        <v>0</v>
      </c>
      <c r="O119" s="503" t="s">
        <v>204</v>
      </c>
      <c r="P119" s="229"/>
      <c r="Q119" s="230" t="s">
        <v>204</v>
      </c>
      <c r="R119" s="266" t="s">
        <v>180</v>
      </c>
      <c r="S119" s="228" t="s">
        <v>204</v>
      </c>
      <c r="T119" s="579" t="s">
        <v>204</v>
      </c>
      <c r="U119" s="579" t="s">
        <v>204</v>
      </c>
      <c r="V119" s="227" t="str">
        <f t="shared" ref="V119" si="57">+U119</f>
        <v>N.A</v>
      </c>
      <c r="W119" s="229"/>
      <c r="X119" s="230" t="s">
        <v>204</v>
      </c>
      <c r="Y119" s="266" t="str">
        <f>+'Plan de Accion apoyo transversa'!CJ116</f>
        <v>No Prog ni Ejec</v>
      </c>
      <c r="Z119" s="228" t="s">
        <v>204</v>
      </c>
      <c r="AA119" s="233" t="s">
        <v>204</v>
      </c>
      <c r="AB119" s="233" t="s">
        <v>204</v>
      </c>
      <c r="AC119" s="583" t="str">
        <f t="shared" ref="AC119" si="58">+AB119</f>
        <v>N.A</v>
      </c>
      <c r="AD119" s="229"/>
      <c r="AE119" s="230" t="s">
        <v>204</v>
      </c>
      <c r="AF119" s="266" t="s">
        <v>180</v>
      </c>
      <c r="AG119" s="228" t="s">
        <v>204</v>
      </c>
      <c r="AH119" s="266" t="s">
        <v>204</v>
      </c>
      <c r="AI119" s="227" t="s">
        <v>204</v>
      </c>
      <c r="AJ119" s="265"/>
      <c r="AK119" s="250"/>
      <c r="AL119" s="264"/>
      <c r="AM119" s="263"/>
      <c r="AN119" s="249"/>
      <c r="AO119" s="264"/>
      <c r="AP119" s="263"/>
      <c r="AQ119" s="249"/>
      <c r="AR119" s="264"/>
      <c r="AS119" s="263"/>
      <c r="AT119" s="249"/>
      <c r="AU119" s="264"/>
      <c r="AV119" s="263"/>
      <c r="AW119" s="249"/>
      <c r="AX119" s="262"/>
      <c r="AY119" s="249"/>
      <c r="AZ119" s="264"/>
      <c r="BA119" s="263"/>
      <c r="BB119" s="249"/>
      <c r="BC119" s="264"/>
      <c r="BD119" s="263"/>
      <c r="BE119" s="249"/>
      <c r="BF119" s="264"/>
      <c r="BG119" s="263"/>
      <c r="BH119" s="249"/>
      <c r="BI119" s="264"/>
      <c r="BJ119" s="263"/>
      <c r="BK119" s="249"/>
      <c r="BL119" s="262"/>
      <c r="BN119" s="264"/>
      <c r="BO119" s="263"/>
      <c r="BP119" s="249"/>
      <c r="BQ119" s="264"/>
      <c r="BR119" s="263"/>
      <c r="BS119" s="249"/>
      <c r="BT119" s="264"/>
      <c r="BU119" s="263"/>
      <c r="BV119" s="249"/>
      <c r="BW119" s="264"/>
      <c r="BX119" s="263"/>
      <c r="BY119" s="249"/>
      <c r="BZ119" s="262"/>
      <c r="CB119" s="264"/>
      <c r="CC119" s="263"/>
      <c r="CD119" s="249"/>
      <c r="CE119" s="264"/>
      <c r="CF119" s="263"/>
      <c r="CG119" s="249"/>
      <c r="CH119" s="264"/>
      <c r="CI119" s="263"/>
      <c r="CJ119" s="249"/>
      <c r="CK119" s="264"/>
      <c r="CL119" s="263"/>
      <c r="CM119" s="249"/>
      <c r="CN119" s="262"/>
    </row>
    <row r="120" spans="2:92" s="189" customFormat="1" ht="43.5" thickBot="1" x14ac:dyDescent="0.25">
      <c r="B120" s="1345"/>
      <c r="C120" s="1231"/>
      <c r="D120" s="1215"/>
      <c r="E120" s="1303"/>
      <c r="F120" s="1304"/>
      <c r="G120" s="335" t="str">
        <f>+'Plan de Accion apoyo transversa'!X117</f>
        <v>Jornada de salud sobre: Prevención del cáncer realizada</v>
      </c>
      <c r="H120" s="1219"/>
      <c r="I120" s="190"/>
      <c r="J120" s="230" t="e">
        <f>+'Plan de Accion apoyo transversa'!AW117</f>
        <v>#DIV/0!</v>
      </c>
      <c r="K120" s="503" t="str">
        <f>+'Plan de Accion apoyo transversa'!CF117</f>
        <v>No Prog ni Ejec</v>
      </c>
      <c r="L120" s="503" t="s">
        <v>204</v>
      </c>
      <c r="M120" s="503">
        <f>+'Plan de Accion apoyo transversa'!AY117</f>
        <v>0</v>
      </c>
      <c r="N120" s="503">
        <f t="shared" si="49"/>
        <v>0</v>
      </c>
      <c r="O120" s="503" t="s">
        <v>204</v>
      </c>
      <c r="P120" s="229"/>
      <c r="Q120" s="230" t="s">
        <v>204</v>
      </c>
      <c r="R120" s="266" t="s">
        <v>180</v>
      </c>
      <c r="S120" s="228" t="s">
        <v>204</v>
      </c>
      <c r="T120" s="579" t="s">
        <v>204</v>
      </c>
      <c r="U120" s="579" t="s">
        <v>204</v>
      </c>
      <c r="V120" s="227" t="str">
        <f t="shared" ref="V120" si="59">+U120</f>
        <v>N.A</v>
      </c>
      <c r="W120" s="229"/>
      <c r="X120" s="230" t="s">
        <v>204</v>
      </c>
      <c r="Y120" s="266" t="str">
        <f>+'Plan de Accion apoyo transversa'!CJ117</f>
        <v>No Prog ni Ejec</v>
      </c>
      <c r="Z120" s="228" t="s">
        <v>204</v>
      </c>
      <c r="AA120" s="233" t="s">
        <v>204</v>
      </c>
      <c r="AB120" s="233" t="s">
        <v>204</v>
      </c>
      <c r="AC120" s="583" t="str">
        <f t="shared" ref="AC120" si="60">+AB120</f>
        <v>N.A</v>
      </c>
      <c r="AD120" s="229"/>
      <c r="AE120" s="230" t="s">
        <v>204</v>
      </c>
      <c r="AF120" s="266" t="s">
        <v>180</v>
      </c>
      <c r="AG120" s="228" t="s">
        <v>204</v>
      </c>
      <c r="AH120" s="266" t="s">
        <v>204</v>
      </c>
      <c r="AI120" s="227" t="s">
        <v>204</v>
      </c>
      <c r="AJ120" s="265"/>
      <c r="AK120" s="250"/>
      <c r="AL120" s="264"/>
      <c r="AM120" s="263"/>
      <c r="AN120" s="249"/>
      <c r="AO120" s="264"/>
      <c r="AP120" s="263"/>
      <c r="AQ120" s="249"/>
      <c r="AR120" s="264"/>
      <c r="AS120" s="263"/>
      <c r="AT120" s="249"/>
      <c r="AU120" s="264"/>
      <c r="AV120" s="263"/>
      <c r="AW120" s="249"/>
      <c r="AX120" s="262"/>
      <c r="AY120" s="249"/>
      <c r="AZ120" s="264"/>
      <c r="BA120" s="263"/>
      <c r="BB120" s="249"/>
      <c r="BC120" s="264"/>
      <c r="BD120" s="263"/>
      <c r="BE120" s="249"/>
      <c r="BF120" s="264"/>
      <c r="BG120" s="263"/>
      <c r="BH120" s="249"/>
      <c r="BI120" s="264"/>
      <c r="BJ120" s="263"/>
      <c r="BK120" s="249"/>
      <c r="BL120" s="262"/>
      <c r="BN120" s="264"/>
      <c r="BO120" s="263"/>
      <c r="BP120" s="249"/>
      <c r="BQ120" s="264"/>
      <c r="BR120" s="263"/>
      <c r="BS120" s="249"/>
      <c r="BT120" s="264"/>
      <c r="BU120" s="263"/>
      <c r="BV120" s="249"/>
      <c r="BW120" s="264"/>
      <c r="BX120" s="263"/>
      <c r="BY120" s="249"/>
      <c r="BZ120" s="262"/>
      <c r="CB120" s="264"/>
      <c r="CC120" s="263"/>
      <c r="CD120" s="249"/>
      <c r="CE120" s="264"/>
      <c r="CF120" s="263"/>
      <c r="CG120" s="249"/>
      <c r="CH120" s="264"/>
      <c r="CI120" s="263"/>
      <c r="CJ120" s="249"/>
      <c r="CK120" s="264"/>
      <c r="CL120" s="263"/>
      <c r="CM120" s="249"/>
      <c r="CN120" s="262"/>
    </row>
    <row r="121" spans="2:92" s="189" customFormat="1" ht="72" thickBot="1" x14ac:dyDescent="0.25">
      <c r="B121" s="1345"/>
      <c r="C121" s="1231"/>
      <c r="D121" s="1215"/>
      <c r="E121" s="1303"/>
      <c r="F121" s="1304" t="s">
        <v>330</v>
      </c>
      <c r="G121" s="335" t="str">
        <f>+'Plan de Accion apoyo transversa'!X121</f>
        <v>Digiturno puesto a disposición de los ciudadanos que acuden al punto de atención presencial de la ADRES</v>
      </c>
      <c r="H121" s="1219"/>
      <c r="I121" s="190"/>
      <c r="J121" s="230" t="e">
        <f>+'Plan de Accion apoyo transversa'!AW121</f>
        <v>#DIV/0!</v>
      </c>
      <c r="K121" s="503" t="str">
        <f>+'Plan de Accion apoyo transversa'!CF121</f>
        <v>No Prog ni Ejec</v>
      </c>
      <c r="L121" s="503" t="s">
        <v>204</v>
      </c>
      <c r="M121" s="503">
        <f>+'Plan de Accion apoyo transversa'!AY121</f>
        <v>0</v>
      </c>
      <c r="N121" s="503">
        <f t="shared" si="49"/>
        <v>0</v>
      </c>
      <c r="O121" s="503" t="s">
        <v>204</v>
      </c>
      <c r="P121" s="229"/>
      <c r="Q121" s="230" t="e">
        <f>+'Plan de Accion apoyo transversa'!BG121</f>
        <v>#DIV/0!</v>
      </c>
      <c r="R121" s="266" t="str">
        <f>+'Plan de Accion apoyo transversa'!CH121</f>
        <v>No Prog ni Ejec</v>
      </c>
      <c r="S121" s="228" t="s">
        <v>204</v>
      </c>
      <c r="T121" s="324">
        <f>+'Plan de Accion apoyo transversa'!BI121</f>
        <v>0</v>
      </c>
      <c r="U121" s="324">
        <f t="shared" si="50"/>
        <v>0</v>
      </c>
      <c r="V121" s="227" t="s">
        <v>204</v>
      </c>
      <c r="W121" s="229"/>
      <c r="X121" s="230">
        <f>+'Plan de Accion apoyo transversa'!BQ121</f>
        <v>0</v>
      </c>
      <c r="Y121" s="266">
        <f>+'Plan de Accion apoyo transversa'!CJ121</f>
        <v>0</v>
      </c>
      <c r="Z121" s="228">
        <f>IF(Y121&gt;100%,100%,Y121)</f>
        <v>0</v>
      </c>
      <c r="AA121" s="233">
        <f>+'Plan de Accion apoyo transversa'!BS121</f>
        <v>0</v>
      </c>
      <c r="AB121" s="233">
        <f t="shared" si="51"/>
        <v>0</v>
      </c>
      <c r="AC121" s="322">
        <f t="shared" si="56"/>
        <v>0</v>
      </c>
      <c r="AD121" s="229"/>
      <c r="AE121" s="230" t="e">
        <f>+'Plan de Accion apoyo transversa'!CA121</f>
        <v>#DIV/0!</v>
      </c>
      <c r="AF121" s="266" t="str">
        <f>+'Plan de Accion apoyo transversa'!CL121</f>
        <v>No Prog ni Ejec</v>
      </c>
      <c r="AG121" s="228" t="s">
        <v>204</v>
      </c>
      <c r="AH121" s="266">
        <f>+'Plan de Accion apoyo transversa'!CC121</f>
        <v>0</v>
      </c>
      <c r="AI121" s="227">
        <f t="shared" si="52"/>
        <v>0</v>
      </c>
      <c r="AJ121" s="265"/>
      <c r="AK121" s="250"/>
      <c r="AL121" s="264"/>
      <c r="AM121" s="263"/>
      <c r="AN121" s="249"/>
      <c r="AO121" s="264"/>
      <c r="AP121" s="263"/>
      <c r="AQ121" s="249"/>
      <c r="AR121" s="264"/>
      <c r="AS121" s="263"/>
      <c r="AT121" s="249"/>
      <c r="AU121" s="264"/>
      <c r="AV121" s="263"/>
      <c r="AW121" s="249"/>
      <c r="AX121" s="262"/>
      <c r="AY121" s="249"/>
      <c r="AZ121" s="264"/>
      <c r="BA121" s="263"/>
      <c r="BB121" s="249"/>
      <c r="BC121" s="264"/>
      <c r="BD121" s="263"/>
      <c r="BE121" s="249"/>
      <c r="BF121" s="264"/>
      <c r="BG121" s="263"/>
      <c r="BH121" s="249"/>
      <c r="BI121" s="264"/>
      <c r="BJ121" s="263"/>
      <c r="BK121" s="249"/>
      <c r="BL121" s="262"/>
      <c r="BN121" s="264"/>
      <c r="BO121" s="263"/>
      <c r="BP121" s="249"/>
      <c r="BQ121" s="264"/>
      <c r="BR121" s="263"/>
      <c r="BS121" s="249"/>
      <c r="BT121" s="264"/>
      <c r="BU121" s="263"/>
      <c r="BV121" s="249"/>
      <c r="BW121" s="264"/>
      <c r="BX121" s="263"/>
      <c r="BY121" s="249"/>
      <c r="BZ121" s="262"/>
      <c r="CB121" s="264"/>
      <c r="CC121" s="263"/>
      <c r="CD121" s="249"/>
      <c r="CE121" s="264"/>
      <c r="CF121" s="263"/>
      <c r="CG121" s="249"/>
      <c r="CH121" s="264"/>
      <c r="CI121" s="263"/>
      <c r="CJ121" s="249"/>
      <c r="CK121" s="264"/>
      <c r="CL121" s="263"/>
      <c r="CM121" s="249"/>
      <c r="CN121" s="262"/>
    </row>
    <row r="122" spans="2:92" s="189" customFormat="1" ht="57.75" thickBot="1" x14ac:dyDescent="0.25">
      <c r="B122" s="1345"/>
      <c r="C122" s="1231"/>
      <c r="D122" s="1215"/>
      <c r="E122" s="1303"/>
      <c r="F122" s="1304"/>
      <c r="G122" s="335" t="str">
        <f>+'Plan de Accion apoyo transversa'!X122</f>
        <v>Gestión de Servicio al ciudadano de la entidad  por los diferentes canales  de atención.</v>
      </c>
      <c r="H122" s="1219"/>
      <c r="I122" s="190"/>
      <c r="J122" s="230">
        <f>+'Plan de Accion apoyo transversa'!AW122</f>
        <v>0.70647303946179063</v>
      </c>
      <c r="K122" s="503">
        <f>+'Plan de Accion apoyo transversa'!CF122</f>
        <v>0.70647303946179063</v>
      </c>
      <c r="L122" s="503">
        <f>IF(K122&gt;100%,100%,K122)</f>
        <v>0.70647303946179063</v>
      </c>
      <c r="M122" s="503">
        <f>+'Plan de Accion apoyo transversa'!AY122</f>
        <v>0.17661825986544766</v>
      </c>
      <c r="N122" s="503">
        <f t="shared" si="49"/>
        <v>0.17661825986544766</v>
      </c>
      <c r="O122" s="503">
        <f>+N122</f>
        <v>0.17661825986544766</v>
      </c>
      <c r="P122" s="229"/>
      <c r="Q122" s="230">
        <f>+'Plan de Accion apoyo transversa'!BG122</f>
        <v>1.0596902388003862</v>
      </c>
      <c r="R122" s="266">
        <f>+'Plan de Accion apoyo transversa'!CH122</f>
        <v>1.0596902388003862</v>
      </c>
      <c r="S122" s="228">
        <f>IF(R122&gt;100%,100%,R122)</f>
        <v>1</v>
      </c>
      <c r="T122" s="324">
        <f>+'Plan de Accion apoyo transversa'!BI122</f>
        <v>0.4415408195655442</v>
      </c>
      <c r="U122" s="324">
        <f t="shared" si="50"/>
        <v>0.4415408195655442</v>
      </c>
      <c r="V122" s="227">
        <f t="shared" si="55"/>
        <v>0.4415408195655442</v>
      </c>
      <c r="W122" s="229">
        <v>1</v>
      </c>
      <c r="X122" s="230">
        <f>+'Plan de Accion apoyo transversa'!BQ122</f>
        <v>0</v>
      </c>
      <c r="Y122" s="266">
        <f>+'Plan de Accion apoyo transversa'!CJ122</f>
        <v>0</v>
      </c>
      <c r="Z122" s="228">
        <f t="shared" ref="Z122:Z136" si="61">IF(Y122&gt;100%,100%,Y122)</f>
        <v>0</v>
      </c>
      <c r="AA122" s="233">
        <f>+'Plan de Accion apoyo transversa'!BS122</f>
        <v>0.4415408195655442</v>
      </c>
      <c r="AB122" s="233">
        <f t="shared" si="51"/>
        <v>0.4415408195655442</v>
      </c>
      <c r="AC122" s="322">
        <f t="shared" ref="AC122:AC129" si="62">+AB122</f>
        <v>0.4415408195655442</v>
      </c>
      <c r="AD122" s="229"/>
      <c r="AE122" s="230">
        <f>+'Plan de Accion apoyo transversa'!CA122</f>
        <v>0</v>
      </c>
      <c r="AF122" s="266">
        <f>+'Plan de Accion apoyo transversa'!CL122</f>
        <v>0</v>
      </c>
      <c r="AG122" s="228">
        <f t="shared" ref="AG122:AG127" si="63">IF(AF122&gt;100%,100%,AF122)</f>
        <v>0</v>
      </c>
      <c r="AH122" s="266">
        <f>+'Plan de Accion apoyo transversa'!CC122</f>
        <v>0.4415408195655442</v>
      </c>
      <c r="AI122" s="227">
        <f t="shared" si="52"/>
        <v>0.4415408195655442</v>
      </c>
      <c r="AJ122" s="265"/>
      <c r="AK122" s="250"/>
      <c r="AL122" s="264"/>
      <c r="AM122" s="263"/>
      <c r="AN122" s="249"/>
      <c r="AO122" s="264"/>
      <c r="AP122" s="263"/>
      <c r="AQ122" s="249"/>
      <c r="AR122" s="264"/>
      <c r="AS122" s="263"/>
      <c r="AT122" s="249"/>
      <c r="AU122" s="264"/>
      <c r="AV122" s="263"/>
      <c r="AW122" s="249"/>
      <c r="AX122" s="262"/>
      <c r="AY122" s="249"/>
      <c r="AZ122" s="264"/>
      <c r="BA122" s="263"/>
      <c r="BB122" s="249"/>
      <c r="BC122" s="264"/>
      <c r="BD122" s="263"/>
      <c r="BE122" s="249"/>
      <c r="BF122" s="264"/>
      <c r="BG122" s="263"/>
      <c r="BH122" s="249"/>
      <c r="BI122" s="264"/>
      <c r="BJ122" s="263"/>
      <c r="BK122" s="249"/>
      <c r="BL122" s="262"/>
      <c r="BN122" s="264"/>
      <c r="BO122" s="263"/>
      <c r="BP122" s="249"/>
      <c r="BQ122" s="264"/>
      <c r="BR122" s="263"/>
      <c r="BS122" s="249"/>
      <c r="BT122" s="264"/>
      <c r="BU122" s="263"/>
      <c r="BV122" s="249"/>
      <c r="BW122" s="264"/>
      <c r="BX122" s="263"/>
      <c r="BY122" s="249"/>
      <c r="BZ122" s="262"/>
      <c r="CB122" s="264"/>
      <c r="CC122" s="263"/>
      <c r="CD122" s="249"/>
      <c r="CE122" s="264"/>
      <c r="CF122" s="263"/>
      <c r="CG122" s="249"/>
      <c r="CH122" s="264"/>
      <c r="CI122" s="263"/>
      <c r="CJ122" s="249"/>
      <c r="CK122" s="264"/>
      <c r="CL122" s="263"/>
      <c r="CM122" s="249"/>
      <c r="CN122" s="262"/>
    </row>
    <row r="123" spans="2:92" s="189" customFormat="1" ht="57.75" customHeight="1" thickBot="1" x14ac:dyDescent="0.25">
      <c r="B123" s="1345"/>
      <c r="C123" s="1231"/>
      <c r="D123" s="1216"/>
      <c r="E123" s="1303"/>
      <c r="F123" s="729" t="s">
        <v>995</v>
      </c>
      <c r="G123" s="335" t="str">
        <f>+'Plan de Accion apoyo transversa'!X174</f>
        <v>Contratos suscritos</v>
      </c>
      <c r="H123" s="1219"/>
      <c r="I123" s="190"/>
      <c r="J123" s="230">
        <f>+'Plan de Accion apoyo transversa'!AW174</f>
        <v>1.3061820715783481</v>
      </c>
      <c r="K123" s="503">
        <f>+'Plan de Accion apoyo transversa'!CF174</f>
        <v>1.3061820715783481</v>
      </c>
      <c r="L123" s="503">
        <f>IF(K123&gt;100%,100%,K123)</f>
        <v>1</v>
      </c>
      <c r="M123" s="503">
        <f>+'Plan de Accion apoyo transversa'!AY174</f>
        <v>0.32654551789458702</v>
      </c>
      <c r="N123" s="503">
        <f t="shared" si="49"/>
        <v>0.32654551789458702</v>
      </c>
      <c r="O123" s="503">
        <f>+N123</f>
        <v>0.32654551789458702</v>
      </c>
      <c r="P123" s="229"/>
      <c r="Q123" s="230">
        <f>+'Plan de Accion apoyo transversa'!BG174</f>
        <v>0</v>
      </c>
      <c r="R123" s="266" t="s">
        <v>180</v>
      </c>
      <c r="S123" s="228" t="s">
        <v>204</v>
      </c>
      <c r="T123" s="324">
        <f>+'Plan de Accion apoyo transversa'!BI174</f>
        <v>0.32654551789458702</v>
      </c>
      <c r="U123" s="324">
        <f t="shared" si="50"/>
        <v>0.32654551789458702</v>
      </c>
      <c r="V123" s="227">
        <f t="shared" si="55"/>
        <v>0.32654551789458702</v>
      </c>
      <c r="W123" s="229"/>
      <c r="X123" s="230">
        <f>+'Plan de Accion apoyo transversa'!BQ174</f>
        <v>0</v>
      </c>
      <c r="Y123" s="266" t="s">
        <v>180</v>
      </c>
      <c r="Z123" s="228" t="s">
        <v>204</v>
      </c>
      <c r="AA123" s="233">
        <f>+'Plan de Accion apoyo transversa'!BS174</f>
        <v>0.32654551789458702</v>
      </c>
      <c r="AB123" s="233">
        <f t="shared" si="51"/>
        <v>0.32654551789458702</v>
      </c>
      <c r="AC123" s="322">
        <f t="shared" si="62"/>
        <v>0.32654551789458702</v>
      </c>
      <c r="AD123" s="229"/>
      <c r="AE123" s="230">
        <f>+'Plan de Accion apoyo transversa'!CA174</f>
        <v>0</v>
      </c>
      <c r="AF123" s="266" t="s">
        <v>180</v>
      </c>
      <c r="AG123" s="228" t="s">
        <v>204</v>
      </c>
      <c r="AH123" s="266">
        <f>+'Plan de Accion apoyo transversa'!CC174</f>
        <v>0.32654551789458702</v>
      </c>
      <c r="AI123" s="227">
        <f t="shared" si="52"/>
        <v>0.32654551789458702</v>
      </c>
      <c r="AJ123" s="265"/>
      <c r="AK123" s="250"/>
      <c r="AL123" s="264"/>
      <c r="AM123" s="263"/>
      <c r="AN123" s="249"/>
      <c r="AO123" s="264"/>
      <c r="AP123" s="263"/>
      <c r="AQ123" s="249"/>
      <c r="AR123" s="264"/>
      <c r="AS123" s="263"/>
      <c r="AT123" s="249"/>
      <c r="AU123" s="264"/>
      <c r="AV123" s="263"/>
      <c r="AW123" s="249"/>
      <c r="AX123" s="262"/>
      <c r="AY123" s="249"/>
      <c r="AZ123" s="264"/>
      <c r="BA123" s="263"/>
      <c r="BB123" s="249"/>
      <c r="BC123" s="264"/>
      <c r="BD123" s="263"/>
      <c r="BE123" s="249"/>
      <c r="BF123" s="264"/>
      <c r="BG123" s="263"/>
      <c r="BH123" s="249"/>
      <c r="BI123" s="264"/>
      <c r="BJ123" s="263"/>
      <c r="BK123" s="249"/>
      <c r="BL123" s="262"/>
      <c r="BN123" s="264"/>
      <c r="BO123" s="263"/>
      <c r="BP123" s="249"/>
      <c r="BQ123" s="264"/>
      <c r="BR123" s="263"/>
      <c r="BS123" s="249"/>
      <c r="BT123" s="264"/>
      <c r="BU123" s="263"/>
      <c r="BV123" s="249"/>
      <c r="BW123" s="264"/>
      <c r="BX123" s="263"/>
      <c r="BY123" s="249"/>
      <c r="BZ123" s="262"/>
      <c r="CB123" s="264"/>
      <c r="CC123" s="263"/>
      <c r="CD123" s="249"/>
      <c r="CE123" s="264"/>
      <c r="CF123" s="263"/>
      <c r="CG123" s="249"/>
      <c r="CH123" s="264"/>
      <c r="CI123" s="263"/>
      <c r="CJ123" s="249"/>
      <c r="CK123" s="264"/>
      <c r="CL123" s="263"/>
      <c r="CM123" s="249"/>
      <c r="CN123" s="262"/>
    </row>
    <row r="124" spans="2:92" s="189" customFormat="1" ht="43.5" customHeight="1" thickBot="1" x14ac:dyDescent="0.25">
      <c r="B124" s="1345"/>
      <c r="C124" s="1231"/>
      <c r="D124" s="1214" t="s">
        <v>204</v>
      </c>
      <c r="E124" s="1214" t="s">
        <v>230</v>
      </c>
      <c r="F124" s="1214" t="s">
        <v>330</v>
      </c>
      <c r="G124" s="335" t="str">
        <f>+'Plan de Accion apoyo transversa'!X134</f>
        <v xml:space="preserve">Servicios de Mesa de Ayuda </v>
      </c>
      <c r="H124" s="1219"/>
      <c r="I124" s="190"/>
      <c r="J124" s="230">
        <f>+'Plan de Accion apoyo transversa'!AW134</f>
        <v>0.40023828566937225</v>
      </c>
      <c r="K124" s="503">
        <f>+'Plan de Accion apoyo transversa'!CF134</f>
        <v>0.40023828566937225</v>
      </c>
      <c r="L124" s="503">
        <f>IF(K124&gt;100%,100%,K124)</f>
        <v>0.40023828566937225</v>
      </c>
      <c r="M124" s="503">
        <f>+'Plan de Accion apoyo transversa'!AY134</f>
        <v>4.0023828566937231E-2</v>
      </c>
      <c r="N124" s="503">
        <f t="shared" si="49"/>
        <v>4.0023828566937231E-2</v>
      </c>
      <c r="O124" s="503">
        <f>+N124</f>
        <v>4.0023828566937231E-2</v>
      </c>
      <c r="P124" s="229"/>
      <c r="Q124" s="230">
        <f>+'Plan de Accion apoyo transversa'!BG134</f>
        <v>0</v>
      </c>
      <c r="R124" s="266" t="s">
        <v>180</v>
      </c>
      <c r="S124" s="228" t="s">
        <v>204</v>
      </c>
      <c r="T124" s="324">
        <f>+'Plan de Accion apoyo transversa'!BI134</f>
        <v>4.0023828566937231E-2</v>
      </c>
      <c r="U124" s="324">
        <f t="shared" ref="U124:U129" si="64">IF(T124&gt;100%,100%,T124)</f>
        <v>4.0023828566937231E-2</v>
      </c>
      <c r="V124" s="227">
        <f>+U124</f>
        <v>4.0023828566937231E-2</v>
      </c>
      <c r="W124" s="229"/>
      <c r="X124" s="230">
        <f>+'Plan de Accion apoyo transversa'!BQ134</f>
        <v>0</v>
      </c>
      <c r="Y124" s="266" t="s">
        <v>180</v>
      </c>
      <c r="Z124" s="228" t="s">
        <v>204</v>
      </c>
      <c r="AA124" s="233">
        <f>+'Plan de Accion apoyo transversa'!BS134</f>
        <v>4.0023828566937231E-2</v>
      </c>
      <c r="AB124" s="233">
        <f t="shared" ref="AB124:AB129" si="65">IF(AA124&gt;100%,100%,AA124)</f>
        <v>4.0023828566937231E-2</v>
      </c>
      <c r="AC124" s="322">
        <f t="shared" si="62"/>
        <v>4.0023828566937231E-2</v>
      </c>
      <c r="AD124" s="229"/>
      <c r="AE124" s="230">
        <f>+'Plan de Accion apoyo transversa'!CA134</f>
        <v>0</v>
      </c>
      <c r="AF124" s="266" t="s">
        <v>180</v>
      </c>
      <c r="AG124" s="228" t="s">
        <v>204</v>
      </c>
      <c r="AH124" s="266">
        <f>+'Plan de Accion apoyo transversa'!CC134</f>
        <v>4.0023828566937231E-2</v>
      </c>
      <c r="AI124" s="227">
        <f t="shared" ref="AI124:AI129" si="66">IF(AH124&gt;100%,100%,AH124)</f>
        <v>4.0023828566937231E-2</v>
      </c>
      <c r="AJ124" s="265"/>
      <c r="AK124" s="250"/>
      <c r="AL124" s="264"/>
      <c r="AM124" s="263"/>
      <c r="AN124" s="249"/>
      <c r="AO124" s="264"/>
      <c r="AP124" s="263"/>
      <c r="AQ124" s="249"/>
      <c r="AR124" s="264"/>
      <c r="AS124" s="263"/>
      <c r="AT124" s="249"/>
      <c r="AU124" s="264"/>
      <c r="AV124" s="263"/>
      <c r="AW124" s="249"/>
      <c r="AX124" s="262"/>
      <c r="AY124" s="249"/>
      <c r="AZ124" s="264"/>
      <c r="BA124" s="263"/>
      <c r="BB124" s="249"/>
      <c r="BC124" s="264"/>
      <c r="BD124" s="263"/>
      <c r="BE124" s="249"/>
      <c r="BF124" s="264"/>
      <c r="BG124" s="263"/>
      <c r="BH124" s="249"/>
      <c r="BI124" s="264"/>
      <c r="BJ124" s="263"/>
      <c r="BK124" s="249"/>
      <c r="BL124" s="262"/>
      <c r="BN124" s="264"/>
      <c r="BO124" s="263"/>
      <c r="BP124" s="249"/>
      <c r="BQ124" s="264"/>
      <c r="BR124" s="263"/>
      <c r="BS124" s="249"/>
      <c r="BT124" s="264"/>
      <c r="BU124" s="263"/>
      <c r="BV124" s="249"/>
      <c r="BW124" s="264"/>
      <c r="BX124" s="263"/>
      <c r="BY124" s="249"/>
      <c r="BZ124" s="262"/>
      <c r="CB124" s="264"/>
      <c r="CC124" s="263"/>
      <c r="CD124" s="249"/>
      <c r="CE124" s="264"/>
      <c r="CF124" s="263"/>
      <c r="CG124" s="249"/>
      <c r="CH124" s="264"/>
      <c r="CI124" s="263"/>
      <c r="CJ124" s="249"/>
      <c r="CK124" s="264"/>
      <c r="CL124" s="263"/>
      <c r="CM124" s="249"/>
      <c r="CN124" s="262"/>
    </row>
    <row r="125" spans="2:92" s="189" customFormat="1" ht="100.5" thickBot="1" x14ac:dyDescent="0.25">
      <c r="B125" s="1345"/>
      <c r="C125" s="1231"/>
      <c r="D125" s="1215"/>
      <c r="E125" s="1215"/>
      <c r="F125" s="1215"/>
      <c r="G125" s="335" t="str">
        <f>+'Plan de Accion apoyo transversa'!X138</f>
        <v>Flujos de correspondencia, que incluya impresión de stickers, firma digital de documentos, estampado cronológico, reconocimiento OCR e integración con los flujos de PQRSD y Tutelas</v>
      </c>
      <c r="H125" s="1219"/>
      <c r="I125" s="190"/>
      <c r="J125" s="230" t="e">
        <f>+'Plan de Accion apoyo transversa'!AW138</f>
        <v>#DIV/0!</v>
      </c>
      <c r="K125" s="503" t="str">
        <f>+'Plan de Accion apoyo transversa'!CF138</f>
        <v>No Prog ni Ejec</v>
      </c>
      <c r="L125" s="503" t="s">
        <v>204</v>
      </c>
      <c r="M125" s="503">
        <f>+'Plan de Accion apoyo transversa'!AY138</f>
        <v>0</v>
      </c>
      <c r="N125" s="503">
        <f t="shared" si="49"/>
        <v>0</v>
      </c>
      <c r="O125" s="503" t="s">
        <v>204</v>
      </c>
      <c r="P125" s="229"/>
      <c r="Q125" s="230" t="e">
        <f>+'Plan de Accion apoyo transversa'!BG138</f>
        <v>#DIV/0!</v>
      </c>
      <c r="R125" s="266" t="str">
        <f>+'Plan de Accion apoyo transversa'!CH138</f>
        <v>No Prog ni Ejec</v>
      </c>
      <c r="S125" s="228" t="s">
        <v>204</v>
      </c>
      <c r="T125" s="324">
        <f>+'Plan de Accion apoyo transversa'!BI138</f>
        <v>0</v>
      </c>
      <c r="U125" s="324">
        <f t="shared" si="64"/>
        <v>0</v>
      </c>
      <c r="V125" s="227" t="s">
        <v>204</v>
      </c>
      <c r="W125" s="229"/>
      <c r="X125" s="230">
        <f>+'Plan de Accion apoyo transversa'!BQ138</f>
        <v>0</v>
      </c>
      <c r="Y125" s="266">
        <f>+'Plan de Accion apoyo transversa'!CJ138</f>
        <v>0</v>
      </c>
      <c r="Z125" s="228">
        <f t="shared" si="61"/>
        <v>0</v>
      </c>
      <c r="AA125" s="233">
        <f>+'Plan de Accion apoyo transversa'!BS138</f>
        <v>0</v>
      </c>
      <c r="AB125" s="233">
        <f t="shared" si="65"/>
        <v>0</v>
      </c>
      <c r="AC125" s="322">
        <f t="shared" si="62"/>
        <v>0</v>
      </c>
      <c r="AD125" s="229"/>
      <c r="AE125" s="230">
        <f>+'Plan de Accion apoyo transversa'!CA138</f>
        <v>0</v>
      </c>
      <c r="AF125" s="266">
        <f>+'Plan de Accion apoyo transversa'!CL138</f>
        <v>0</v>
      </c>
      <c r="AG125" s="228">
        <f t="shared" si="63"/>
        <v>0</v>
      </c>
      <c r="AH125" s="266">
        <f>+'Plan de Accion apoyo transversa'!CC138</f>
        <v>0</v>
      </c>
      <c r="AI125" s="227">
        <f t="shared" si="66"/>
        <v>0</v>
      </c>
      <c r="AJ125" s="265"/>
      <c r="AK125" s="250"/>
      <c r="AL125" s="264"/>
      <c r="AM125" s="263"/>
      <c r="AN125" s="249"/>
      <c r="AO125" s="264"/>
      <c r="AP125" s="263"/>
      <c r="AQ125" s="249"/>
      <c r="AR125" s="264"/>
      <c r="AS125" s="263"/>
      <c r="AT125" s="249"/>
      <c r="AU125" s="264"/>
      <c r="AV125" s="263"/>
      <c r="AW125" s="249"/>
      <c r="AX125" s="262"/>
      <c r="AY125" s="249"/>
      <c r="AZ125" s="264"/>
      <c r="BA125" s="263"/>
      <c r="BB125" s="249"/>
      <c r="BC125" s="264"/>
      <c r="BD125" s="263"/>
      <c r="BE125" s="249"/>
      <c r="BF125" s="264"/>
      <c r="BG125" s="263"/>
      <c r="BH125" s="249"/>
      <c r="BI125" s="264"/>
      <c r="BJ125" s="263"/>
      <c r="BK125" s="249"/>
      <c r="BL125" s="262"/>
      <c r="BN125" s="264"/>
      <c r="BO125" s="263"/>
      <c r="BP125" s="249"/>
      <c r="BQ125" s="264"/>
      <c r="BR125" s="263"/>
      <c r="BS125" s="249"/>
      <c r="BT125" s="264"/>
      <c r="BU125" s="263"/>
      <c r="BV125" s="249"/>
      <c r="BW125" s="264"/>
      <c r="BX125" s="263"/>
      <c r="BY125" s="249"/>
      <c r="BZ125" s="262"/>
      <c r="CB125" s="264"/>
      <c r="CC125" s="263"/>
      <c r="CD125" s="249"/>
      <c r="CE125" s="264"/>
      <c r="CF125" s="263"/>
      <c r="CG125" s="249"/>
      <c r="CH125" s="264"/>
      <c r="CI125" s="263"/>
      <c r="CJ125" s="249"/>
      <c r="CK125" s="264"/>
      <c r="CL125" s="263"/>
      <c r="CM125" s="249"/>
      <c r="CN125" s="262"/>
    </row>
    <row r="126" spans="2:92" s="189" customFormat="1" ht="43.5" thickBot="1" x14ac:dyDescent="0.25">
      <c r="B126" s="1345"/>
      <c r="C126" s="1231"/>
      <c r="D126" s="1215"/>
      <c r="E126" s="1215"/>
      <c r="F126" s="1216"/>
      <c r="G126" s="335" t="str">
        <f>+'Plan de Accion apoyo transversa'!X140</f>
        <v>Servicio de documentación de los servicios TI y Sistemas de Información</v>
      </c>
      <c r="H126" s="1219"/>
      <c r="I126" s="190"/>
      <c r="J126" s="230" t="e">
        <f>+'Plan de Accion apoyo transversa'!AW140</f>
        <v>#DIV/0!</v>
      </c>
      <c r="K126" s="503" t="str">
        <f>+'Plan de Accion apoyo transversa'!CF140</f>
        <v>No Prog ni Ejec</v>
      </c>
      <c r="L126" s="503" t="s">
        <v>204</v>
      </c>
      <c r="M126" s="503">
        <f>+'Plan de Accion apoyo transversa'!AY140</f>
        <v>0</v>
      </c>
      <c r="N126" s="503">
        <f t="shared" si="49"/>
        <v>0</v>
      </c>
      <c r="O126" s="503" t="s">
        <v>204</v>
      </c>
      <c r="P126" s="229"/>
      <c r="Q126" s="230" t="e">
        <f>+'Plan de Accion apoyo transversa'!BG140</f>
        <v>#DIV/0!</v>
      </c>
      <c r="R126" s="266" t="str">
        <f>+'Plan de Accion apoyo transversa'!CH140</f>
        <v>No Prog ni Ejec</v>
      </c>
      <c r="S126" s="228" t="s">
        <v>204</v>
      </c>
      <c r="T126" s="324">
        <f>+'Plan de Accion apoyo transversa'!BI140</f>
        <v>0</v>
      </c>
      <c r="U126" s="324">
        <f t="shared" si="64"/>
        <v>0</v>
      </c>
      <c r="V126" s="227" t="s">
        <v>204</v>
      </c>
      <c r="W126" s="229"/>
      <c r="X126" s="230">
        <f>+'Plan de Accion apoyo transversa'!BQ140</f>
        <v>0</v>
      </c>
      <c r="Y126" s="266">
        <f>+'Plan de Accion apoyo transversa'!CJ140</f>
        <v>0</v>
      </c>
      <c r="Z126" s="228">
        <f t="shared" si="61"/>
        <v>0</v>
      </c>
      <c r="AA126" s="233">
        <f>+'Plan de Accion apoyo transversa'!BS140</f>
        <v>0</v>
      </c>
      <c r="AB126" s="233">
        <f t="shared" si="65"/>
        <v>0</v>
      </c>
      <c r="AC126" s="322">
        <f t="shared" si="62"/>
        <v>0</v>
      </c>
      <c r="AD126" s="229"/>
      <c r="AE126" s="230">
        <f>+'Plan de Accion apoyo transversa'!CA140</f>
        <v>0</v>
      </c>
      <c r="AF126" s="266">
        <f>+'Plan de Accion apoyo transversa'!CL140</f>
        <v>0</v>
      </c>
      <c r="AG126" s="228">
        <f t="shared" si="63"/>
        <v>0</v>
      </c>
      <c r="AH126" s="266">
        <f>+'Plan de Accion apoyo transversa'!CC140</f>
        <v>0</v>
      </c>
      <c r="AI126" s="227">
        <f t="shared" si="66"/>
        <v>0</v>
      </c>
      <c r="AJ126" s="265"/>
      <c r="AK126" s="250"/>
      <c r="AL126" s="264"/>
      <c r="AM126" s="263"/>
      <c r="AN126" s="249"/>
      <c r="AO126" s="264"/>
      <c r="AP126" s="263"/>
      <c r="AQ126" s="249"/>
      <c r="AR126" s="264"/>
      <c r="AS126" s="263"/>
      <c r="AT126" s="249"/>
      <c r="AU126" s="264"/>
      <c r="AV126" s="263"/>
      <c r="AW126" s="249"/>
      <c r="AX126" s="262"/>
      <c r="AY126" s="249"/>
      <c r="AZ126" s="264"/>
      <c r="BA126" s="263"/>
      <c r="BB126" s="249"/>
      <c r="BC126" s="264"/>
      <c r="BD126" s="263"/>
      <c r="BE126" s="249"/>
      <c r="BF126" s="264"/>
      <c r="BG126" s="263"/>
      <c r="BH126" s="249"/>
      <c r="BI126" s="264"/>
      <c r="BJ126" s="263"/>
      <c r="BK126" s="249"/>
      <c r="BL126" s="262"/>
      <c r="BN126" s="264"/>
      <c r="BO126" s="263"/>
      <c r="BP126" s="249"/>
      <c r="BQ126" s="264"/>
      <c r="BR126" s="263"/>
      <c r="BS126" s="249"/>
      <c r="BT126" s="264"/>
      <c r="BU126" s="263"/>
      <c r="BV126" s="249"/>
      <c r="BW126" s="264"/>
      <c r="BX126" s="263"/>
      <c r="BY126" s="249"/>
      <c r="BZ126" s="262"/>
      <c r="CB126" s="264"/>
      <c r="CC126" s="263"/>
      <c r="CD126" s="249"/>
      <c r="CE126" s="264"/>
      <c r="CF126" s="263"/>
      <c r="CG126" s="249"/>
      <c r="CH126" s="264"/>
      <c r="CI126" s="263"/>
      <c r="CJ126" s="249"/>
      <c r="CK126" s="264"/>
      <c r="CL126" s="263"/>
      <c r="CM126" s="249"/>
      <c r="CN126" s="262"/>
    </row>
    <row r="127" spans="2:92" s="189" customFormat="1" ht="72" thickBot="1" x14ac:dyDescent="0.25">
      <c r="B127" s="1345"/>
      <c r="C127" s="1231"/>
      <c r="D127" s="1215"/>
      <c r="E127" s="1215"/>
      <c r="F127" s="1214" t="s">
        <v>1192</v>
      </c>
      <c r="G127" s="335" t="str">
        <f>+'Plan de Accion apoyo transversa'!X135</f>
        <v>Servicios, infraestructura, Sistemas de información migrados (Transición) a IPV6 y compatibilidad con IPV4</v>
      </c>
      <c r="H127" s="1219"/>
      <c r="I127" s="190"/>
      <c r="J127" s="230" t="e">
        <f>+'Plan de Accion apoyo transversa'!AW135</f>
        <v>#DIV/0!</v>
      </c>
      <c r="K127" s="503" t="str">
        <f>+'Plan de Accion apoyo transversa'!CF135</f>
        <v>No Prog ni Ejec</v>
      </c>
      <c r="L127" s="503" t="s">
        <v>204</v>
      </c>
      <c r="M127" s="503">
        <f>+'Plan de Accion apoyo transversa'!AY135</f>
        <v>0</v>
      </c>
      <c r="N127" s="503">
        <f t="shared" si="49"/>
        <v>0</v>
      </c>
      <c r="O127" s="503" t="s">
        <v>204</v>
      </c>
      <c r="P127" s="229"/>
      <c r="Q127" s="230" t="e">
        <f>+'Plan de Accion apoyo transversa'!BG135</f>
        <v>#DIV/0!</v>
      </c>
      <c r="R127" s="266" t="str">
        <f>+'Plan de Accion apoyo transversa'!CH135</f>
        <v>No Prog ni Ejec</v>
      </c>
      <c r="S127" s="228" t="s">
        <v>204</v>
      </c>
      <c r="T127" s="324">
        <f>+'Plan de Accion apoyo transversa'!BI135</f>
        <v>0</v>
      </c>
      <c r="U127" s="324">
        <f t="shared" si="64"/>
        <v>0</v>
      </c>
      <c r="V127" s="227" t="s">
        <v>204</v>
      </c>
      <c r="W127" s="229"/>
      <c r="X127" s="230">
        <f>+'Plan de Accion apoyo transversa'!BQ135</f>
        <v>0</v>
      </c>
      <c r="Y127" s="266">
        <f>+'Plan de Accion apoyo transversa'!CJ135</f>
        <v>0</v>
      </c>
      <c r="Z127" s="228">
        <f t="shared" si="61"/>
        <v>0</v>
      </c>
      <c r="AA127" s="233">
        <f>+'Plan de Accion apoyo transversa'!BS135</f>
        <v>0</v>
      </c>
      <c r="AB127" s="233">
        <f t="shared" si="65"/>
        <v>0</v>
      </c>
      <c r="AC127" s="322">
        <f t="shared" si="62"/>
        <v>0</v>
      </c>
      <c r="AD127" s="229"/>
      <c r="AE127" s="230">
        <f>+'Plan de Accion apoyo transversa'!CA135</f>
        <v>0</v>
      </c>
      <c r="AF127" s="266">
        <f>+'Plan de Accion apoyo transversa'!CL135</f>
        <v>0</v>
      </c>
      <c r="AG127" s="228">
        <f t="shared" si="63"/>
        <v>0</v>
      </c>
      <c r="AH127" s="266">
        <f>+'Plan de Accion apoyo transversa'!CC135</f>
        <v>0</v>
      </c>
      <c r="AI127" s="227">
        <f t="shared" si="66"/>
        <v>0</v>
      </c>
      <c r="AJ127" s="265"/>
      <c r="AK127" s="250"/>
      <c r="AL127" s="264"/>
      <c r="AM127" s="263"/>
      <c r="AN127" s="249"/>
      <c r="AO127" s="264"/>
      <c r="AP127" s="263"/>
      <c r="AQ127" s="249"/>
      <c r="AR127" s="264"/>
      <c r="AS127" s="263"/>
      <c r="AT127" s="249"/>
      <c r="AU127" s="264"/>
      <c r="AV127" s="263"/>
      <c r="AW127" s="249"/>
      <c r="AX127" s="262"/>
      <c r="AY127" s="249"/>
      <c r="AZ127" s="264"/>
      <c r="BA127" s="263"/>
      <c r="BB127" s="249"/>
      <c r="BC127" s="264"/>
      <c r="BD127" s="263"/>
      <c r="BE127" s="249"/>
      <c r="BF127" s="264"/>
      <c r="BG127" s="263"/>
      <c r="BH127" s="249"/>
      <c r="BI127" s="264"/>
      <c r="BJ127" s="263"/>
      <c r="BK127" s="249"/>
      <c r="BL127" s="262"/>
      <c r="BN127" s="264"/>
      <c r="BO127" s="263"/>
      <c r="BP127" s="249"/>
      <c r="BQ127" s="264"/>
      <c r="BR127" s="263"/>
      <c r="BS127" s="249"/>
      <c r="BT127" s="264"/>
      <c r="BU127" s="263"/>
      <c r="BV127" s="249"/>
      <c r="BW127" s="264"/>
      <c r="BX127" s="263"/>
      <c r="BY127" s="249"/>
      <c r="BZ127" s="262"/>
      <c r="CB127" s="264"/>
      <c r="CC127" s="263"/>
      <c r="CD127" s="249"/>
      <c r="CE127" s="264"/>
      <c r="CF127" s="263"/>
      <c r="CG127" s="249"/>
      <c r="CH127" s="264"/>
      <c r="CI127" s="263"/>
      <c r="CJ127" s="249"/>
      <c r="CK127" s="264"/>
      <c r="CL127" s="263"/>
      <c r="CM127" s="249"/>
      <c r="CN127" s="262"/>
    </row>
    <row r="128" spans="2:92" s="189" customFormat="1" ht="72" thickBot="1" x14ac:dyDescent="0.25">
      <c r="B128" s="1345"/>
      <c r="C128" s="1231"/>
      <c r="D128" s="1215"/>
      <c r="E128" s="1215"/>
      <c r="F128" s="1216"/>
      <c r="G128" s="335" t="str">
        <f>+'Plan de Accion apoyo transversa'!X136</f>
        <v>Informe sobre servicios técnicos para realizar análisis de vulnerabilidades, ethical Hacking y pruebas de Ingeniería Social adquiridos</v>
      </c>
      <c r="H128" s="1219"/>
      <c r="I128" s="190"/>
      <c r="J128" s="230" t="e">
        <f>+'Plan de Accion apoyo transversa'!AW136</f>
        <v>#DIV/0!</v>
      </c>
      <c r="K128" s="503" t="str">
        <f>+'Plan de Accion apoyo transversa'!CF136</f>
        <v>No Prog ni Ejec</v>
      </c>
      <c r="L128" s="503" t="s">
        <v>204</v>
      </c>
      <c r="M128" s="503">
        <f>+'Plan de Accion apoyo transversa'!AY136</f>
        <v>0</v>
      </c>
      <c r="N128" s="503">
        <f t="shared" si="49"/>
        <v>0</v>
      </c>
      <c r="O128" s="503" t="s">
        <v>204</v>
      </c>
      <c r="P128" s="229"/>
      <c r="Q128" s="230">
        <f>+'Plan de Accion apoyo transversa'!BG136</f>
        <v>0</v>
      </c>
      <c r="R128" s="266" t="s">
        <v>180</v>
      </c>
      <c r="S128" s="228" t="s">
        <v>204</v>
      </c>
      <c r="T128" s="324" t="s">
        <v>204</v>
      </c>
      <c r="U128" s="324" t="s">
        <v>204</v>
      </c>
      <c r="V128" s="227" t="s">
        <v>204</v>
      </c>
      <c r="W128" s="229"/>
      <c r="X128" s="230">
        <f>+'Plan de Accion apoyo transversa'!BQ136</f>
        <v>0</v>
      </c>
      <c r="Y128" s="266" t="s">
        <v>180</v>
      </c>
      <c r="Z128" s="228" t="s">
        <v>204</v>
      </c>
      <c r="AA128" s="233" t="s">
        <v>204</v>
      </c>
      <c r="AB128" s="233">
        <f t="shared" si="65"/>
        <v>1</v>
      </c>
      <c r="AC128" s="322">
        <f t="shared" si="62"/>
        <v>1</v>
      </c>
      <c r="AD128" s="229"/>
      <c r="AE128" s="230" t="e">
        <f>+'Plan de Accion apoyo transversa'!CA136</f>
        <v>#DIV/0!</v>
      </c>
      <c r="AF128" s="266" t="str">
        <f>+'Plan de Accion apoyo transversa'!CL136</f>
        <v>No Prog ni Ejec</v>
      </c>
      <c r="AG128" s="228" t="s">
        <v>204</v>
      </c>
      <c r="AH128" s="266" t="s">
        <v>204</v>
      </c>
      <c r="AI128" s="227" t="s">
        <v>204</v>
      </c>
      <c r="AJ128" s="265"/>
      <c r="AK128" s="250"/>
      <c r="AL128" s="264"/>
      <c r="AM128" s="263"/>
      <c r="AN128" s="249"/>
      <c r="AO128" s="264"/>
      <c r="AP128" s="263"/>
      <c r="AQ128" s="249"/>
      <c r="AR128" s="264"/>
      <c r="AS128" s="263"/>
      <c r="AT128" s="249"/>
      <c r="AU128" s="264"/>
      <c r="AV128" s="263"/>
      <c r="AW128" s="249"/>
      <c r="AX128" s="262"/>
      <c r="AY128" s="249"/>
      <c r="AZ128" s="264"/>
      <c r="BA128" s="263"/>
      <c r="BB128" s="249"/>
      <c r="BC128" s="264"/>
      <c r="BD128" s="263"/>
      <c r="BE128" s="249"/>
      <c r="BF128" s="264"/>
      <c r="BG128" s="263"/>
      <c r="BH128" s="249"/>
      <c r="BI128" s="264"/>
      <c r="BJ128" s="263"/>
      <c r="BK128" s="249"/>
      <c r="BL128" s="262"/>
      <c r="BN128" s="264"/>
      <c r="BO128" s="263"/>
      <c r="BP128" s="249"/>
      <c r="BQ128" s="264"/>
      <c r="BR128" s="263"/>
      <c r="BS128" s="249"/>
      <c r="BT128" s="264"/>
      <c r="BU128" s="263"/>
      <c r="BV128" s="249"/>
      <c r="BW128" s="264"/>
      <c r="BX128" s="263"/>
      <c r="BY128" s="249"/>
      <c r="BZ128" s="262"/>
      <c r="CB128" s="264"/>
      <c r="CC128" s="263"/>
      <c r="CD128" s="249"/>
      <c r="CE128" s="264"/>
      <c r="CF128" s="263"/>
      <c r="CG128" s="249"/>
      <c r="CH128" s="264"/>
      <c r="CI128" s="263"/>
      <c r="CJ128" s="249"/>
      <c r="CK128" s="264"/>
      <c r="CL128" s="263"/>
      <c r="CM128" s="249"/>
      <c r="CN128" s="262"/>
    </row>
    <row r="129" spans="2:94" s="189" customFormat="1" ht="57.75" thickBot="1" x14ac:dyDescent="0.25">
      <c r="B129" s="1346"/>
      <c r="C129" s="1236"/>
      <c r="D129" s="1221"/>
      <c r="E129" s="1221"/>
      <c r="F129" s="321" t="s">
        <v>1193</v>
      </c>
      <c r="G129" s="335" t="str">
        <f>+'Plan de Accion apoyo transversa'!X139</f>
        <v>Plan Estratégico de TI  estructurado, elaborado y aprobado</v>
      </c>
      <c r="H129" s="1220"/>
      <c r="I129" s="190"/>
      <c r="J129" s="230" t="e">
        <f>+'Plan de Accion apoyo transversa'!AW139</f>
        <v>#DIV/0!</v>
      </c>
      <c r="K129" s="266" t="str">
        <f>+'Plan de Accion apoyo transversa'!CF139</f>
        <v>No Prog ni Ejec</v>
      </c>
      <c r="L129" s="324" t="s">
        <v>204</v>
      </c>
      <c r="M129" s="503">
        <f>+'Plan de Accion apoyo transversa'!AY139</f>
        <v>0</v>
      </c>
      <c r="N129" s="503">
        <f t="shared" si="49"/>
        <v>0</v>
      </c>
      <c r="O129" s="503" t="s">
        <v>204</v>
      </c>
      <c r="P129" s="229"/>
      <c r="Q129" s="735" t="e">
        <f>+'Plan de Accion apoyo transversa'!BG139</f>
        <v>#DIV/0!</v>
      </c>
      <c r="R129" s="730" t="str">
        <f>+'Plan de Accion apoyo transversa'!CH139</f>
        <v>No Prog ni Ejec</v>
      </c>
      <c r="S129" s="464" t="s">
        <v>204</v>
      </c>
      <c r="T129" s="731">
        <f>+'Plan de Accion apoyo transversa'!BI139</f>
        <v>0</v>
      </c>
      <c r="U129" s="731">
        <f t="shared" si="64"/>
        <v>0</v>
      </c>
      <c r="V129" s="466" t="s">
        <v>204</v>
      </c>
      <c r="W129" s="229"/>
      <c r="X129" s="230">
        <f>+'Plan de Accion apoyo transversa'!BQ139</f>
        <v>0</v>
      </c>
      <c r="Y129" s="266">
        <f>+'Plan de Accion apoyo transversa'!CJ139</f>
        <v>0</v>
      </c>
      <c r="Z129" s="228">
        <f t="shared" si="61"/>
        <v>0</v>
      </c>
      <c r="AA129" s="233">
        <f>+'Plan de Accion apoyo transversa'!BS139</f>
        <v>0</v>
      </c>
      <c r="AB129" s="233">
        <f t="shared" si="65"/>
        <v>0</v>
      </c>
      <c r="AC129" s="322">
        <f t="shared" si="62"/>
        <v>0</v>
      </c>
      <c r="AD129" s="229"/>
      <c r="AE129" s="230">
        <f>+'Plan de Accion apoyo transversa'!CA139</f>
        <v>0</v>
      </c>
      <c r="AF129" s="266">
        <f>+'Plan de Accion apoyo transversa'!CL139</f>
        <v>0</v>
      </c>
      <c r="AG129" s="228">
        <f t="shared" ref="AG129:AG136" si="67">IF(AF129&gt;100%,100%,AF129)</f>
        <v>0</v>
      </c>
      <c r="AH129" s="266">
        <f>+'Plan de Accion apoyo transversa'!CC139</f>
        <v>0</v>
      </c>
      <c r="AI129" s="227">
        <f t="shared" si="66"/>
        <v>0</v>
      </c>
      <c r="AJ129" s="265"/>
      <c r="AK129" s="250"/>
      <c r="AL129" s="264"/>
      <c r="AM129" s="263"/>
      <c r="AN129" s="249"/>
      <c r="AO129" s="264"/>
      <c r="AP129" s="263"/>
      <c r="AQ129" s="249"/>
      <c r="AR129" s="264"/>
      <c r="AS129" s="263"/>
      <c r="AT129" s="249"/>
      <c r="AU129" s="264"/>
      <c r="AV129" s="263"/>
      <c r="AW129" s="249"/>
      <c r="AX129" s="262"/>
      <c r="AY129" s="249"/>
      <c r="AZ129" s="264"/>
      <c r="BA129" s="263"/>
      <c r="BB129" s="249"/>
      <c r="BC129" s="264"/>
      <c r="BD129" s="263"/>
      <c r="BE129" s="249"/>
      <c r="BF129" s="264"/>
      <c r="BG129" s="263"/>
      <c r="BH129" s="249"/>
      <c r="BI129" s="264"/>
      <c r="BJ129" s="263"/>
      <c r="BK129" s="249"/>
      <c r="BL129" s="262"/>
      <c r="BN129" s="264"/>
      <c r="BO129" s="263"/>
      <c r="BP129" s="249"/>
      <c r="BQ129" s="264"/>
      <c r="BR129" s="263"/>
      <c r="BS129" s="249"/>
      <c r="BT129" s="264"/>
      <c r="BU129" s="263"/>
      <c r="BV129" s="249"/>
      <c r="BW129" s="264"/>
      <c r="BX129" s="263"/>
      <c r="BY129" s="249"/>
      <c r="BZ129" s="262"/>
      <c r="CB129" s="264"/>
      <c r="CC129" s="263"/>
      <c r="CD129" s="249"/>
      <c r="CE129" s="264"/>
      <c r="CF129" s="263"/>
      <c r="CG129" s="249"/>
      <c r="CH129" s="264"/>
      <c r="CI129" s="263"/>
      <c r="CJ129" s="249"/>
      <c r="CK129" s="264"/>
      <c r="CL129" s="263"/>
      <c r="CM129" s="249"/>
      <c r="CN129" s="262"/>
    </row>
    <row r="130" spans="2:94" ht="20.25" thickBot="1" x14ac:dyDescent="0.3">
      <c r="B130" s="1222" t="s">
        <v>208</v>
      </c>
      <c r="C130" s="1224"/>
      <c r="D130" s="1224"/>
      <c r="E130" s="1224"/>
      <c r="F130" s="1225"/>
      <c r="G130" s="1225"/>
      <c r="H130" s="1226"/>
      <c r="I130" s="254"/>
      <c r="J130" s="213" t="s">
        <v>204</v>
      </c>
      <c r="K130" s="212">
        <f>AVERAGE(K15:K129)</f>
        <v>0.48383104213218625</v>
      </c>
      <c r="L130" s="212">
        <f>IF(K130&gt;100%,100%,K130)</f>
        <v>0.48383104213218625</v>
      </c>
      <c r="M130" s="212">
        <f>AVERAGE(M15:M129)</f>
        <v>8.2264807130188092E-2</v>
      </c>
      <c r="N130" s="212">
        <f>IF(M130&gt;25%,25%,M130)</f>
        <v>8.2264807130188092E-2</v>
      </c>
      <c r="O130" s="215">
        <f>AVERAGE(O15:O129)</f>
        <v>0.11734270705882274</v>
      </c>
      <c r="P130" s="214"/>
      <c r="Q130" s="213" t="s">
        <v>204</v>
      </c>
      <c r="R130" s="216">
        <f>AVERAGE(R15:R129)</f>
        <v>0.70549550968549402</v>
      </c>
      <c r="S130" s="212">
        <f>IF(R130&gt;100%,100%,R130)</f>
        <v>0.70549550968549402</v>
      </c>
      <c r="T130" s="933">
        <f>AVERAGE(T15:T129)</f>
        <v>0.22394728436665898</v>
      </c>
      <c r="U130" s="933">
        <f>IF(T130&gt;50%,50%,T130)</f>
        <v>0.22394728436665898</v>
      </c>
      <c r="V130" s="934">
        <f>AVERAGE(V15:V129)</f>
        <v>0.26979969154809386</v>
      </c>
      <c r="W130" s="214"/>
      <c r="X130" s="213" t="s">
        <v>204</v>
      </c>
      <c r="Y130" s="216">
        <f>AVERAGE(Y15:Y129)</f>
        <v>0</v>
      </c>
      <c r="Z130" s="212">
        <f t="shared" si="61"/>
        <v>0</v>
      </c>
      <c r="AA130" s="216">
        <f>AVERAGE(AA15:AA129)</f>
        <v>0.18270197288200282</v>
      </c>
      <c r="AB130" s="212">
        <f>IF(AA130&gt;75%,75%,AA130)</f>
        <v>0.18270197288200282</v>
      </c>
      <c r="AC130" s="215">
        <f>AVERAGE(AC15:AC129)</f>
        <v>0.2050171044458142</v>
      </c>
      <c r="AD130" s="214"/>
      <c r="AE130" s="213" t="s">
        <v>204</v>
      </c>
      <c r="AF130" s="216">
        <f>AVERAGE(AF15:AF129)</f>
        <v>0</v>
      </c>
      <c r="AG130" s="212">
        <f t="shared" si="67"/>
        <v>0</v>
      </c>
      <c r="AH130" s="216">
        <f>AVERAGE(AH15:AH129)</f>
        <v>0.22394728436665898</v>
      </c>
      <c r="AI130" s="215">
        <f>AVERAGE(AI15:AI129)</f>
        <v>0.22394728436665898</v>
      </c>
      <c r="AJ130" s="261"/>
      <c r="AK130" s="253"/>
      <c r="AL130" s="259"/>
      <c r="AM130" s="258"/>
      <c r="AN130" s="260"/>
      <c r="AO130" s="259"/>
      <c r="AP130" s="258"/>
      <c r="AQ130" s="260"/>
      <c r="AR130" s="259"/>
      <c r="AS130" s="258"/>
      <c r="AT130" s="260"/>
      <c r="AU130" s="259"/>
      <c r="AV130" s="258"/>
      <c r="AW130" s="252"/>
      <c r="AX130" s="257"/>
      <c r="AY130" s="252"/>
      <c r="AZ130" s="259"/>
      <c r="BA130" s="258"/>
      <c r="BB130" s="260"/>
      <c r="BC130" s="259"/>
      <c r="BD130" s="258"/>
      <c r="BE130" s="260"/>
      <c r="BF130" s="259"/>
      <c r="BG130" s="258"/>
      <c r="BH130" s="260"/>
      <c r="BI130" s="259"/>
      <c r="BJ130" s="258"/>
      <c r="BK130" s="252"/>
      <c r="BL130" s="257"/>
      <c r="BN130" s="259"/>
      <c r="BO130" s="258"/>
      <c r="BP130" s="260"/>
      <c r="BQ130" s="259"/>
      <c r="BR130" s="258"/>
      <c r="BS130" s="260"/>
      <c r="BT130" s="259"/>
      <c r="BU130" s="258"/>
      <c r="BV130" s="260"/>
      <c r="BW130" s="259"/>
      <c r="BX130" s="258"/>
      <c r="BY130" s="252"/>
      <c r="BZ130" s="257"/>
      <c r="CB130" s="259"/>
      <c r="CC130" s="258"/>
      <c r="CD130" s="260"/>
      <c r="CE130" s="259"/>
      <c r="CF130" s="258"/>
      <c r="CG130" s="260"/>
      <c r="CH130" s="259"/>
      <c r="CI130" s="258"/>
      <c r="CJ130" s="260"/>
      <c r="CK130" s="259"/>
      <c r="CL130" s="258"/>
      <c r="CM130" s="252"/>
      <c r="CN130" s="257"/>
    </row>
    <row r="131" spans="2:94" ht="96.75" customHeight="1" x14ac:dyDescent="0.25">
      <c r="B131" s="1340" t="s">
        <v>1167</v>
      </c>
      <c r="C131" s="1231" t="s">
        <v>345</v>
      </c>
      <c r="D131" s="1234" t="s">
        <v>1160</v>
      </c>
      <c r="E131" s="1235" t="s">
        <v>13</v>
      </c>
      <c r="F131" s="1216" t="s">
        <v>330</v>
      </c>
      <c r="G131" s="1243" t="str">
        <f>+'Plan de Accion Proyectos estrat'!K9</f>
        <v>Paquetes de recobros y reclamaciones del rezago entregados para pago certificados por la Firma Interventora / Grupo supervisor de la ADRES o quien haga sus veces</v>
      </c>
      <c r="H131" s="326" t="str">
        <f>+'Plan de Accion Proyectos estrat'!X9</f>
        <v>#Paquetes de recobros y reclamaciones de rezago entregados para pago con interventoría certificada / # Paquetes de recobros y reclamaciones rezagados</v>
      </c>
      <c r="I131" s="254"/>
      <c r="J131" s="921">
        <f>+'Plan de Accion Proyectos estrat'!AG9</f>
        <v>3.4280662133819627E-6</v>
      </c>
      <c r="K131" s="566">
        <f>+'Plan de Accion Proyectos estrat'!AI9</f>
        <v>1.3712264853527851E-5</v>
      </c>
      <c r="L131" s="928">
        <f>IF(K131&gt;100%,100%,K131)</f>
        <v>1.3712264853527851E-5</v>
      </c>
      <c r="M131" s="928">
        <f>+'Plan de Accion Proyectos estrat'!AK9</f>
        <v>3.4280662133819627E-6</v>
      </c>
      <c r="N131" s="928">
        <f t="shared" si="49"/>
        <v>3.4280662133819627E-6</v>
      </c>
      <c r="O131" s="929">
        <f t="shared" ref="O131:O142" si="68">+N131</f>
        <v>3.4280662133819627E-6</v>
      </c>
      <c r="P131" s="229"/>
      <c r="Q131" s="323">
        <f>+'Plan de Accion Proyectos estrat'!AQ9</f>
        <v>0</v>
      </c>
      <c r="R131" s="324" t="s">
        <v>180</v>
      </c>
      <c r="S131" s="228" t="s">
        <v>204</v>
      </c>
      <c r="T131" s="928">
        <f>+'Plan de Accion Proyectos estrat'!AU9</f>
        <v>3.4280662133819627E-6</v>
      </c>
      <c r="U131" s="928">
        <f>IF(T131&gt;100%,100%,T131)</f>
        <v>3.4280662133819627E-6</v>
      </c>
      <c r="V131" s="930">
        <f>+U131</f>
        <v>3.4280662133819627E-6</v>
      </c>
      <c r="W131" s="229"/>
      <c r="X131" s="323">
        <f>+'Plan de Accion Proyectos estrat'!BA9</f>
        <v>0</v>
      </c>
      <c r="Y131" s="324" t="s">
        <v>180</v>
      </c>
      <c r="Z131" s="228" t="s">
        <v>204</v>
      </c>
      <c r="AA131" s="931">
        <f>+'Plan de Accion Proyectos estrat'!BE9</f>
        <v>3.4280662133819627E-6</v>
      </c>
      <c r="AB131" s="931">
        <f>IF(AA131&gt;100%,100%,AA131)</f>
        <v>3.4280662133819627E-6</v>
      </c>
      <c r="AC131" s="932">
        <f>+AB131</f>
        <v>3.4280662133819627E-6</v>
      </c>
      <c r="AD131" s="229"/>
      <c r="AE131" s="323">
        <f>+'Plan de Accion Proyectos estrat'!BK9</f>
        <v>0</v>
      </c>
      <c r="AF131" s="324" t="s">
        <v>180</v>
      </c>
      <c r="AG131" s="228" t="s">
        <v>204</v>
      </c>
      <c r="AH131" s="928">
        <f>+'Plan de Accion Proyectos estrat'!BO9</f>
        <v>3.4280662133819627E-6</v>
      </c>
      <c r="AI131" s="930">
        <f>IF(AH131&gt;100%,100%,AH131)</f>
        <v>3.4280662133819627E-6</v>
      </c>
      <c r="AJ131" s="1273"/>
      <c r="AK131" s="253"/>
      <c r="AL131" s="1271"/>
      <c r="AM131" s="1267"/>
      <c r="AN131" s="220"/>
      <c r="AO131" s="1271"/>
      <c r="AP131" s="1267"/>
      <c r="AQ131" s="220"/>
      <c r="AR131" s="1271"/>
      <c r="AS131" s="1267"/>
      <c r="AT131" s="220"/>
      <c r="AU131" s="1271"/>
      <c r="AV131" s="1267"/>
      <c r="AW131" s="218"/>
      <c r="AX131" s="1274"/>
      <c r="AY131" s="252"/>
      <c r="AZ131" s="1271"/>
      <c r="BA131" s="1267"/>
      <c r="BB131" s="220"/>
      <c r="BC131" s="1271"/>
      <c r="BD131" s="1267"/>
      <c r="BE131" s="220"/>
      <c r="BF131" s="1271"/>
      <c r="BG131" s="1267"/>
      <c r="BH131" s="220"/>
      <c r="BI131" s="1271"/>
      <c r="BJ131" s="1267"/>
      <c r="BK131" s="218"/>
      <c r="BL131" s="1274"/>
      <c r="BN131" s="1271"/>
      <c r="BO131" s="1267"/>
      <c r="BP131" s="220"/>
      <c r="BQ131" s="1271"/>
      <c r="BR131" s="1267"/>
      <c r="BS131" s="220"/>
      <c r="BT131" s="1271"/>
      <c r="BU131" s="1267"/>
      <c r="BV131" s="220"/>
      <c r="BW131" s="1271"/>
      <c r="BX131" s="1267"/>
      <c r="BY131" s="218"/>
      <c r="BZ131" s="1274"/>
      <c r="CB131" s="1271"/>
      <c r="CC131" s="1267"/>
      <c r="CD131" s="220"/>
      <c r="CE131" s="1271"/>
      <c r="CF131" s="1267"/>
      <c r="CG131" s="220"/>
      <c r="CH131" s="1271"/>
      <c r="CI131" s="1267"/>
      <c r="CJ131" s="220"/>
      <c r="CK131" s="1271"/>
      <c r="CL131" s="1267"/>
      <c r="CM131" s="218"/>
      <c r="CN131" s="1274"/>
    </row>
    <row r="132" spans="2:94" ht="96.75" customHeight="1" x14ac:dyDescent="0.25">
      <c r="B132" s="1341"/>
      <c r="C132" s="1231"/>
      <c r="D132" s="1234"/>
      <c r="E132" s="1235"/>
      <c r="F132" s="1216"/>
      <c r="G132" s="1234"/>
      <c r="H132" s="744" t="str">
        <f>+'Plan de Accion Proyectos estrat'!X10</f>
        <v>#Paquetes de recobros y reclamaciones 2019 entregados para pago con interventoría certificada / # Paquetes de recobros y reclamaciones 2019  con trámite de auditoría por realizar</v>
      </c>
      <c r="I132" s="254"/>
      <c r="J132" s="922">
        <f>+'Plan de Accion Proyectos estrat'!AG10</f>
        <v>0</v>
      </c>
      <c r="K132" s="566" t="e">
        <f>+'Plan de Accion Proyectos estrat'!AI10</f>
        <v>#VALUE!</v>
      </c>
      <c r="L132" s="928" t="e">
        <f>IF(K132&gt;100%,100%,K132)</f>
        <v>#VALUE!</v>
      </c>
      <c r="M132" s="928" t="e">
        <f>+'Plan de Accion Proyectos estrat'!AK10</f>
        <v>#VALUE!</v>
      </c>
      <c r="N132" s="928" t="e">
        <f t="shared" ref="N132" si="69">IF(M132&gt;100%,100%,M132)</f>
        <v>#VALUE!</v>
      </c>
      <c r="O132" s="929" t="e">
        <f t="shared" ref="O132" si="70">+N132</f>
        <v>#VALUE!</v>
      </c>
      <c r="P132" s="229"/>
      <c r="Q132" s="736">
        <f>+'Plan de Accion Proyectos estrat'!AQ10</f>
        <v>0</v>
      </c>
      <c r="R132" s="266" t="s">
        <v>180</v>
      </c>
      <c r="S132" s="228" t="s">
        <v>204</v>
      </c>
      <c r="T132" s="732" t="s">
        <v>204</v>
      </c>
      <c r="U132" s="732" t="s">
        <v>204</v>
      </c>
      <c r="V132" s="227" t="s">
        <v>204</v>
      </c>
      <c r="W132" s="229"/>
      <c r="X132" s="736">
        <f>+'Plan de Accion Proyectos estrat'!BA10</f>
        <v>0</v>
      </c>
      <c r="Y132" s="266" t="s">
        <v>180</v>
      </c>
      <c r="Z132" s="228" t="s">
        <v>204</v>
      </c>
      <c r="AA132" s="233" t="s">
        <v>204</v>
      </c>
      <c r="AB132" s="233" t="s">
        <v>204</v>
      </c>
      <c r="AC132" s="232" t="s">
        <v>204</v>
      </c>
      <c r="AD132" s="229"/>
      <c r="AE132" s="736">
        <f>+'Plan de Accion Proyectos estrat'!BK10</f>
        <v>0</v>
      </c>
      <c r="AF132" s="266" t="s">
        <v>180</v>
      </c>
      <c r="AG132" s="228" t="s">
        <v>204</v>
      </c>
      <c r="AH132" s="732" t="s">
        <v>204</v>
      </c>
      <c r="AI132" s="227" t="s">
        <v>204</v>
      </c>
      <c r="AJ132" s="1256"/>
      <c r="AK132" s="253"/>
      <c r="AL132" s="1272"/>
      <c r="AM132" s="1258"/>
      <c r="AN132" s="220"/>
      <c r="AO132" s="1272"/>
      <c r="AP132" s="1258"/>
      <c r="AQ132" s="220"/>
      <c r="AR132" s="1272"/>
      <c r="AS132" s="1258"/>
      <c r="AT132" s="220"/>
      <c r="AU132" s="1272"/>
      <c r="AV132" s="1258"/>
      <c r="AW132" s="218"/>
      <c r="AX132" s="1275"/>
      <c r="AY132" s="252"/>
      <c r="AZ132" s="1272"/>
      <c r="BA132" s="1258"/>
      <c r="BB132" s="220"/>
      <c r="BC132" s="1272"/>
      <c r="BD132" s="1258"/>
      <c r="BE132" s="220"/>
      <c r="BF132" s="1272"/>
      <c r="BG132" s="1258"/>
      <c r="BH132" s="220"/>
      <c r="BI132" s="1272"/>
      <c r="BJ132" s="1258"/>
      <c r="BK132" s="218"/>
      <c r="BL132" s="1275"/>
      <c r="BN132" s="1272"/>
      <c r="BO132" s="1258"/>
      <c r="BP132" s="220"/>
      <c r="BQ132" s="1272"/>
      <c r="BR132" s="1258"/>
      <c r="BS132" s="220"/>
      <c r="BT132" s="1272"/>
      <c r="BU132" s="1258"/>
      <c r="BV132" s="220"/>
      <c r="BW132" s="1272"/>
      <c r="BX132" s="1258"/>
      <c r="BY132" s="218"/>
      <c r="BZ132" s="1275"/>
      <c r="CB132" s="1272"/>
      <c r="CC132" s="1258"/>
      <c r="CD132" s="220"/>
      <c r="CE132" s="1272"/>
      <c r="CF132" s="1258"/>
      <c r="CG132" s="220"/>
      <c r="CH132" s="1272"/>
      <c r="CI132" s="1258"/>
      <c r="CJ132" s="220"/>
      <c r="CK132" s="1272"/>
      <c r="CL132" s="1258"/>
      <c r="CM132" s="218"/>
      <c r="CN132" s="1275"/>
    </row>
    <row r="133" spans="2:94" ht="96.75" customHeight="1" x14ac:dyDescent="0.25">
      <c r="B133" s="1341"/>
      <c r="C133" s="1231"/>
      <c r="D133" s="1234"/>
      <c r="E133" s="1235"/>
      <c r="F133" s="1216"/>
      <c r="G133" s="1234"/>
      <c r="H133" s="744" t="str">
        <f>+'Plan de Accion Proyectos estrat'!X11</f>
        <v># de precierres validados de paquetes de recobros /# de precierres de paquetes de recobros entregados por la firma auditora</v>
      </c>
      <c r="I133" s="254"/>
      <c r="J133" s="736" t="str">
        <f>+'Plan de Accion Proyectos estrat'!AG11</f>
        <v>N.A</v>
      </c>
      <c r="K133" s="266" t="s">
        <v>180</v>
      </c>
      <c r="L133" s="732" t="s">
        <v>204</v>
      </c>
      <c r="M133" s="732" t="s">
        <v>204</v>
      </c>
      <c r="N133" s="732" t="s">
        <v>204</v>
      </c>
      <c r="O133" s="733" t="s">
        <v>204</v>
      </c>
      <c r="P133" s="229"/>
      <c r="Q133" s="736">
        <f>+'Plan de Accion Proyectos estrat'!AQ11</f>
        <v>0.25</v>
      </c>
      <c r="R133" s="732">
        <f>+'Plan de Accion Proyectos estrat'!AS11</f>
        <v>1</v>
      </c>
      <c r="S133" s="228">
        <f t="shared" ref="S133" si="71">IF(R133&gt;100%,100%,R133)</f>
        <v>1</v>
      </c>
      <c r="T133" s="732">
        <f>+'Plan de Accion Proyectos estrat'!AU11</f>
        <v>0.33333333333333331</v>
      </c>
      <c r="U133" s="732">
        <f t="shared" ref="U133" si="72">IF(T133&gt;100%,100%,T133)</f>
        <v>0.33333333333333331</v>
      </c>
      <c r="V133" s="227">
        <f t="shared" ref="V133" si="73">+U133</f>
        <v>0.33333333333333331</v>
      </c>
      <c r="W133" s="229"/>
      <c r="X133" s="736">
        <f>+'Plan de Accion Proyectos estrat'!BA11</f>
        <v>0</v>
      </c>
      <c r="Y133" s="732">
        <f>+'Plan de Accion Proyectos estrat'!BC11</f>
        <v>0</v>
      </c>
      <c r="Z133" s="228">
        <f t="shared" ref="Z133" si="74">IF(Y133&gt;100%,100%,Y133)</f>
        <v>0</v>
      </c>
      <c r="AA133" s="233">
        <f>+'Plan de Accion Proyectos estrat'!BE11</f>
        <v>0.33333333333333331</v>
      </c>
      <c r="AB133" s="233">
        <f t="shared" ref="AB133" si="75">IF(AA133&gt;100%,100%,AA133)</f>
        <v>0.33333333333333331</v>
      </c>
      <c r="AC133" s="232">
        <f t="shared" ref="AC133" si="76">+AB133</f>
        <v>0.33333333333333331</v>
      </c>
      <c r="AD133" s="229"/>
      <c r="AE133" s="736">
        <f>+'Plan de Accion Proyectos estrat'!BK11</f>
        <v>0</v>
      </c>
      <c r="AF133" s="732">
        <f>+'Plan de Accion Proyectos estrat'!BM11</f>
        <v>0</v>
      </c>
      <c r="AG133" s="228">
        <f t="shared" ref="AG133" si="77">IF(AF133&gt;100%,100%,AF133)</f>
        <v>0</v>
      </c>
      <c r="AH133" s="732">
        <f>+'Plan de Accion Proyectos estrat'!BO11</f>
        <v>0.33333333333333331</v>
      </c>
      <c r="AI133" s="227">
        <f t="shared" ref="AI133" si="78">IF(AH133&gt;100%,100%,AH133)</f>
        <v>0.33333333333333331</v>
      </c>
      <c r="AJ133" s="1256"/>
      <c r="AK133" s="253"/>
      <c r="AL133" s="1272"/>
      <c r="AM133" s="1258"/>
      <c r="AN133" s="220"/>
      <c r="AO133" s="1272"/>
      <c r="AP133" s="1258"/>
      <c r="AQ133" s="220"/>
      <c r="AR133" s="1272"/>
      <c r="AS133" s="1258"/>
      <c r="AT133" s="220"/>
      <c r="AU133" s="1272"/>
      <c r="AV133" s="1258"/>
      <c r="AW133" s="218"/>
      <c r="AX133" s="1275"/>
      <c r="AY133" s="252"/>
      <c r="AZ133" s="1272"/>
      <c r="BA133" s="1258"/>
      <c r="BB133" s="220"/>
      <c r="BC133" s="1272"/>
      <c r="BD133" s="1258"/>
      <c r="BE133" s="220"/>
      <c r="BF133" s="1272"/>
      <c r="BG133" s="1258"/>
      <c r="BH133" s="220"/>
      <c r="BI133" s="1272"/>
      <c r="BJ133" s="1258"/>
      <c r="BK133" s="218"/>
      <c r="BL133" s="1275"/>
      <c r="BN133" s="1272"/>
      <c r="BO133" s="1258"/>
      <c r="BP133" s="220"/>
      <c r="BQ133" s="1272"/>
      <c r="BR133" s="1258"/>
      <c r="BS133" s="220"/>
      <c r="BT133" s="1272"/>
      <c r="BU133" s="1258"/>
      <c r="BV133" s="220"/>
      <c r="BW133" s="1272"/>
      <c r="BX133" s="1258"/>
      <c r="BY133" s="218"/>
      <c r="BZ133" s="1275"/>
      <c r="CB133" s="1272"/>
      <c r="CC133" s="1258"/>
      <c r="CD133" s="220"/>
      <c r="CE133" s="1272"/>
      <c r="CF133" s="1258"/>
      <c r="CG133" s="220"/>
      <c r="CH133" s="1272"/>
      <c r="CI133" s="1258"/>
      <c r="CJ133" s="220"/>
      <c r="CK133" s="1272"/>
      <c r="CL133" s="1258"/>
      <c r="CM133" s="218"/>
      <c r="CN133" s="1275"/>
    </row>
    <row r="134" spans="2:94" ht="96" customHeight="1" x14ac:dyDescent="0.25">
      <c r="B134" s="1341"/>
      <c r="C134" s="1231"/>
      <c r="D134" s="1234"/>
      <c r="E134" s="1303"/>
      <c r="F134" s="1304"/>
      <c r="G134" s="1234"/>
      <c r="H134" s="240" t="str">
        <f>+'Plan de Accion Proyectos estrat'!X12</f>
        <v xml:space="preserve"># de precierres validados de paquetes de reclamaciones /# de precierres de paquetes de reclamaciones entregados por la firma auditora  </v>
      </c>
      <c r="I134" s="254"/>
      <c r="J134" s="323" t="str">
        <f>+'Plan de Accion Proyectos estrat'!AG12</f>
        <v>N.A</v>
      </c>
      <c r="K134" s="266" t="s">
        <v>180</v>
      </c>
      <c r="L134" s="503" t="s">
        <v>204</v>
      </c>
      <c r="M134" s="732" t="s">
        <v>204</v>
      </c>
      <c r="N134" s="732" t="s">
        <v>204</v>
      </c>
      <c r="O134" s="505" t="s">
        <v>204</v>
      </c>
      <c r="P134" s="229"/>
      <c r="Q134" s="323">
        <f>+'Plan de Accion Proyectos estrat'!AQ12</f>
        <v>0.25</v>
      </c>
      <c r="R134" s="324">
        <f>+'Plan de Accion Proyectos estrat'!BT12</f>
        <v>1</v>
      </c>
      <c r="S134" s="228">
        <f>IF(R134&gt;100%,100%,R134)</f>
        <v>1</v>
      </c>
      <c r="T134" s="324">
        <f>+'Plan de Accion Proyectos estrat'!AU12</f>
        <v>0.33333333333333331</v>
      </c>
      <c r="U134" s="324">
        <f>IF(T134&gt;100%,100%,T134)</f>
        <v>0.33333333333333331</v>
      </c>
      <c r="V134" s="227">
        <f>+U134</f>
        <v>0.33333333333333331</v>
      </c>
      <c r="W134" s="229"/>
      <c r="X134" s="323">
        <f>+'Plan de Accion Proyectos estrat'!BA12</f>
        <v>0</v>
      </c>
      <c r="Y134" s="324">
        <f>+'Plan de Accion Proyectos estrat'!BC12</f>
        <v>0</v>
      </c>
      <c r="Z134" s="228">
        <f t="shared" si="61"/>
        <v>0</v>
      </c>
      <c r="AA134" s="233">
        <f>+'Plan de Accion Proyectos estrat'!BE12</f>
        <v>0.33333333333333331</v>
      </c>
      <c r="AB134" s="233">
        <f>IF(AA134&gt;100%,100%,AA134)</f>
        <v>0.33333333333333331</v>
      </c>
      <c r="AC134" s="232">
        <f>+AB134</f>
        <v>0.33333333333333331</v>
      </c>
      <c r="AD134" s="229"/>
      <c r="AE134" s="323">
        <f>+'Plan de Accion Proyectos estrat'!BK12</f>
        <v>0</v>
      </c>
      <c r="AF134" s="324">
        <f>+'Plan de Accion Proyectos estrat'!BM12</f>
        <v>0</v>
      </c>
      <c r="AG134" s="228">
        <f t="shared" si="67"/>
        <v>0</v>
      </c>
      <c r="AH134" s="324">
        <f>+'Plan de Accion Proyectos estrat'!BO12</f>
        <v>0.33333333333333331</v>
      </c>
      <c r="AI134" s="227">
        <f>IF(AH134&gt;100%,100%,AH134)</f>
        <v>0.33333333333333331</v>
      </c>
      <c r="AJ134" s="1256"/>
      <c r="AK134" s="253"/>
      <c r="AL134" s="1272"/>
      <c r="AM134" s="1258"/>
      <c r="AN134" s="220"/>
      <c r="AO134" s="1272"/>
      <c r="AP134" s="1258"/>
      <c r="AQ134" s="220"/>
      <c r="AR134" s="1272"/>
      <c r="AS134" s="1258"/>
      <c r="AT134" s="220"/>
      <c r="AU134" s="1272"/>
      <c r="AV134" s="1258"/>
      <c r="AW134" s="218"/>
      <c r="AX134" s="1275"/>
      <c r="AY134" s="252"/>
      <c r="AZ134" s="1272"/>
      <c r="BA134" s="1258"/>
      <c r="BB134" s="220"/>
      <c r="BC134" s="1272"/>
      <c r="BD134" s="1258"/>
      <c r="BE134" s="220"/>
      <c r="BF134" s="1272"/>
      <c r="BG134" s="1258"/>
      <c r="BH134" s="220"/>
      <c r="BI134" s="1272"/>
      <c r="BJ134" s="1258"/>
      <c r="BK134" s="218"/>
      <c r="BL134" s="1275"/>
      <c r="BN134" s="1272"/>
      <c r="BO134" s="1258"/>
      <c r="BP134" s="220"/>
      <c r="BQ134" s="1272"/>
      <c r="BR134" s="1258"/>
      <c r="BS134" s="220"/>
      <c r="BT134" s="1272"/>
      <c r="BU134" s="1258"/>
      <c r="BV134" s="220"/>
      <c r="BW134" s="1272"/>
      <c r="BX134" s="1258"/>
      <c r="BY134" s="218"/>
      <c r="BZ134" s="1275"/>
      <c r="CB134" s="1272"/>
      <c r="CC134" s="1258"/>
      <c r="CD134" s="220"/>
      <c r="CE134" s="1272"/>
      <c r="CF134" s="1258"/>
      <c r="CG134" s="220"/>
      <c r="CH134" s="1272"/>
      <c r="CI134" s="1258"/>
      <c r="CJ134" s="220"/>
      <c r="CK134" s="1272"/>
      <c r="CL134" s="1258"/>
      <c r="CM134" s="218"/>
      <c r="CN134" s="1275"/>
    </row>
    <row r="135" spans="2:94" ht="96" customHeight="1" x14ac:dyDescent="0.25">
      <c r="B135" s="1341"/>
      <c r="C135" s="1231"/>
      <c r="D135" s="1234"/>
      <c r="E135" s="1303"/>
      <c r="F135" s="1304"/>
      <c r="G135" s="1235"/>
      <c r="H135" s="240" t="str">
        <f>+'Plan de Accion Proyectos estrat'!X13</f>
        <v># de bitácoras generadas sobre el seguimiento a los paquetes de recobros y reclamaciones</v>
      </c>
      <c r="I135" s="254"/>
      <c r="J135" s="580" t="str">
        <f>+'Plan de Accion Proyectos estrat'!AG13</f>
        <v>N.A</v>
      </c>
      <c r="K135" s="266" t="s">
        <v>180</v>
      </c>
      <c r="L135" s="579" t="s">
        <v>204</v>
      </c>
      <c r="M135" s="732" t="s">
        <v>204</v>
      </c>
      <c r="N135" s="732" t="s">
        <v>204</v>
      </c>
      <c r="O135" s="581" t="s">
        <v>204</v>
      </c>
      <c r="P135" s="229"/>
      <c r="Q135" s="580">
        <f>+'Plan de Accion Proyectos estrat'!AQ13</f>
        <v>2</v>
      </c>
      <c r="R135" s="579">
        <f>+'Plan de Accion Proyectos estrat'!BT13</f>
        <v>1</v>
      </c>
      <c r="S135" s="228">
        <f>IF(R135&gt;100%,100%,R135)</f>
        <v>1</v>
      </c>
      <c r="T135" s="579">
        <f>+'Plan de Accion Proyectos estrat'!AU13</f>
        <v>0.33333333333333331</v>
      </c>
      <c r="U135" s="579">
        <f>IF(T135&gt;100%,100%,T135)</f>
        <v>0.33333333333333331</v>
      </c>
      <c r="V135" s="227">
        <f>+U135</f>
        <v>0.33333333333333331</v>
      </c>
      <c r="W135" s="229"/>
      <c r="X135" s="580">
        <f>+'Plan de Accion Proyectos estrat'!BA13</f>
        <v>0</v>
      </c>
      <c r="Y135" s="579">
        <f>+'Plan de Accion Proyectos estrat'!BC13</f>
        <v>0</v>
      </c>
      <c r="Z135" s="228">
        <f t="shared" ref="Z135" si="79">IF(Y135&gt;100%,100%,Y135)</f>
        <v>0</v>
      </c>
      <c r="AA135" s="233">
        <f>+'Plan de Accion Proyectos estrat'!BE13</f>
        <v>0.33333333333333331</v>
      </c>
      <c r="AB135" s="233">
        <f>IF(AA135&gt;100%,100%,AA135)</f>
        <v>0.33333333333333331</v>
      </c>
      <c r="AC135" s="232">
        <f>+AB135</f>
        <v>0.33333333333333331</v>
      </c>
      <c r="AD135" s="229"/>
      <c r="AE135" s="580">
        <f>+'Plan de Accion Proyectos estrat'!BK13</f>
        <v>0</v>
      </c>
      <c r="AF135" s="579">
        <f>+'Plan de Accion Proyectos estrat'!BM13</f>
        <v>0</v>
      </c>
      <c r="AG135" s="228">
        <f t="shared" si="67"/>
        <v>0</v>
      </c>
      <c r="AH135" s="579">
        <f>+'Plan de Accion Proyectos estrat'!BO13</f>
        <v>0.33333333333333331</v>
      </c>
      <c r="AI135" s="227">
        <f>IF(AH135&gt;100%,100%,AH135)</f>
        <v>0.33333333333333331</v>
      </c>
      <c r="AJ135" s="1256"/>
      <c r="AK135" s="253"/>
      <c r="AL135" s="1272"/>
      <c r="AM135" s="1258"/>
      <c r="AN135" s="220"/>
      <c r="AO135" s="1272"/>
      <c r="AP135" s="1258"/>
      <c r="AQ135" s="220"/>
      <c r="AR135" s="1272"/>
      <c r="AS135" s="1258"/>
      <c r="AT135" s="220"/>
      <c r="AU135" s="1272"/>
      <c r="AV135" s="1258"/>
      <c r="AW135" s="218"/>
      <c r="AX135" s="1275"/>
      <c r="AY135" s="252"/>
      <c r="AZ135" s="1272"/>
      <c r="BA135" s="1258"/>
      <c r="BB135" s="220"/>
      <c r="BC135" s="1272"/>
      <c r="BD135" s="1258"/>
      <c r="BE135" s="220"/>
      <c r="BF135" s="1272"/>
      <c r="BG135" s="1258"/>
      <c r="BH135" s="220"/>
      <c r="BI135" s="1272"/>
      <c r="BJ135" s="1258"/>
      <c r="BK135" s="218"/>
      <c r="BL135" s="1275"/>
      <c r="BN135" s="1272"/>
      <c r="BO135" s="1258"/>
      <c r="BP135" s="220"/>
      <c r="BQ135" s="1272"/>
      <c r="BR135" s="1258"/>
      <c r="BS135" s="220"/>
      <c r="BT135" s="1272"/>
      <c r="BU135" s="1258"/>
      <c r="BV135" s="220"/>
      <c r="BW135" s="1272"/>
      <c r="BX135" s="1258"/>
      <c r="BY135" s="218"/>
      <c r="BZ135" s="1275"/>
      <c r="CB135" s="1272"/>
      <c r="CC135" s="1258"/>
      <c r="CD135" s="220"/>
      <c r="CE135" s="1272"/>
      <c r="CF135" s="1258"/>
      <c r="CG135" s="220"/>
      <c r="CH135" s="1272"/>
      <c r="CI135" s="1258"/>
      <c r="CJ135" s="220"/>
      <c r="CK135" s="1272"/>
      <c r="CL135" s="1258"/>
      <c r="CM135" s="218"/>
      <c r="CN135" s="1275"/>
    </row>
    <row r="136" spans="2:94" ht="57.75" thickBot="1" x14ac:dyDescent="0.3">
      <c r="B136" s="1341"/>
      <c r="C136" s="1231"/>
      <c r="D136" s="1234"/>
      <c r="E136" s="1303"/>
      <c r="F136" s="1304"/>
      <c r="G136" s="328" t="str">
        <f>+'Plan de Accion Proyectos estrat'!K16</f>
        <v>Comunicaciones de ordenación del gasto resultantes del proceso de giro previo</v>
      </c>
      <c r="H136" s="240" t="str">
        <f>+'Plan de Accion Proyectos estrat'!X16</f>
        <v xml:space="preserve"># Comunicaciones de ordenación de gasto del giro previo </v>
      </c>
      <c r="I136" s="254"/>
      <c r="J136" s="234">
        <f>+'Plan de Accion Proyectos estrat'!AG16</f>
        <v>3</v>
      </c>
      <c r="K136" s="503">
        <f>+'Plan de Accion Proyectos estrat'!AI16</f>
        <v>1</v>
      </c>
      <c r="L136" s="503">
        <f>IF(K136&gt;100%,100%,K136)</f>
        <v>1</v>
      </c>
      <c r="M136" s="503">
        <f>+'Plan de Accion Proyectos estrat'!AK16</f>
        <v>0.25</v>
      </c>
      <c r="N136" s="503">
        <f t="shared" si="49"/>
        <v>0.25</v>
      </c>
      <c r="O136" s="505">
        <f t="shared" si="68"/>
        <v>0.25</v>
      </c>
      <c r="P136" s="229"/>
      <c r="Q136" s="234">
        <f>+'Plan de Accion Proyectos estrat'!AQ16</f>
        <v>6</v>
      </c>
      <c r="R136" s="324">
        <f>+'Plan de Accion Proyectos estrat'!AS16</f>
        <v>2</v>
      </c>
      <c r="S136" s="228">
        <f>IF(R136&gt;100%,100%,R136)</f>
        <v>1</v>
      </c>
      <c r="T136" s="324">
        <f>+'Plan de Accion Proyectos estrat'!AU16</f>
        <v>0.75</v>
      </c>
      <c r="U136" s="324">
        <f>IF(T136&gt;100%,100%,T136)</f>
        <v>0.75</v>
      </c>
      <c r="V136" s="227">
        <f>+U136</f>
        <v>0.75</v>
      </c>
      <c r="W136" s="229">
        <v>1</v>
      </c>
      <c r="X136" s="234">
        <f>+'Plan de Accion Proyectos estrat'!BA16</f>
        <v>0</v>
      </c>
      <c r="Y136" s="324">
        <f>+'Plan de Accion Proyectos estrat'!BC16</f>
        <v>0</v>
      </c>
      <c r="Z136" s="228">
        <f t="shared" si="61"/>
        <v>0</v>
      </c>
      <c r="AA136" s="233">
        <f>+'Plan de Accion Proyectos estrat'!BE16</f>
        <v>0.75</v>
      </c>
      <c r="AB136" s="233">
        <f>IF(AA136&gt;100%,100%,AA136)</f>
        <v>0.75</v>
      </c>
      <c r="AC136" s="232">
        <f>+AB136</f>
        <v>0.75</v>
      </c>
      <c r="AD136" s="229"/>
      <c r="AE136" s="235">
        <f>+'Plan de Accion Proyectos estrat'!BK16</f>
        <v>0</v>
      </c>
      <c r="AF136" s="324">
        <f>+'Plan de Accion Proyectos estrat'!BM16</f>
        <v>0</v>
      </c>
      <c r="AG136" s="228">
        <f t="shared" si="67"/>
        <v>0</v>
      </c>
      <c r="AH136" s="324">
        <f>+'Plan de Accion Proyectos estrat'!BO16</f>
        <v>0.75</v>
      </c>
      <c r="AI136" s="227">
        <f>IF(AH136&gt;100%,100%,AH136)</f>
        <v>0.75</v>
      </c>
      <c r="AJ136" s="1257"/>
      <c r="AK136" s="253"/>
      <c r="AL136" s="1277"/>
      <c r="AM136" s="1259"/>
      <c r="AN136" s="220"/>
      <c r="AO136" s="1277"/>
      <c r="AP136" s="1259"/>
      <c r="AQ136" s="220"/>
      <c r="AR136" s="1277"/>
      <c r="AS136" s="1259"/>
      <c r="AT136" s="220"/>
      <c r="AU136" s="1277"/>
      <c r="AV136" s="1259"/>
      <c r="AW136" s="218"/>
      <c r="AX136" s="1276"/>
      <c r="AY136" s="252"/>
      <c r="AZ136" s="1277"/>
      <c r="BA136" s="1259"/>
      <c r="BB136" s="220"/>
      <c r="BC136" s="1277"/>
      <c r="BD136" s="1259"/>
      <c r="BE136" s="220"/>
      <c r="BF136" s="1277"/>
      <c r="BG136" s="1259"/>
      <c r="BH136" s="220"/>
      <c r="BI136" s="1277"/>
      <c r="BJ136" s="1259"/>
      <c r="BK136" s="218"/>
      <c r="BL136" s="1276"/>
      <c r="BN136" s="1277"/>
      <c r="BO136" s="1259"/>
      <c r="BP136" s="220"/>
      <c r="BQ136" s="1277"/>
      <c r="BR136" s="1259"/>
      <c r="BS136" s="220"/>
      <c r="BT136" s="1277"/>
      <c r="BU136" s="1259"/>
      <c r="BV136" s="220"/>
      <c r="BW136" s="1277"/>
      <c r="BX136" s="1259"/>
      <c r="BY136" s="218"/>
      <c r="BZ136" s="1276"/>
      <c r="CB136" s="1277"/>
      <c r="CC136" s="1259"/>
      <c r="CD136" s="220"/>
      <c r="CE136" s="1277"/>
      <c r="CF136" s="1259"/>
      <c r="CG136" s="220"/>
      <c r="CH136" s="1277"/>
      <c r="CI136" s="1259"/>
      <c r="CJ136" s="220"/>
      <c r="CK136" s="1277"/>
      <c r="CL136" s="1259"/>
      <c r="CM136" s="218"/>
      <c r="CN136" s="1276"/>
    </row>
    <row r="137" spans="2:94" ht="183" customHeight="1" x14ac:dyDescent="0.25">
      <c r="B137" s="1341"/>
      <c r="C137" s="1231"/>
      <c r="D137" s="1234"/>
      <c r="E137" s="1303"/>
      <c r="F137" s="1304"/>
      <c r="G137" s="759" t="str">
        <f>+'Plan de Accion Proyectos estrat'!K17</f>
        <v>Comunicaciones de ordenación del gasto resultantes del proceso de pagos de los paquetes de recobros cuyo trámite de auditoria haya culminado</v>
      </c>
      <c r="H137" s="240" t="str">
        <f>+'Plan de Accion Proyectos estrat'!X17</f>
        <v>#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v>
      </c>
      <c r="I137" s="254"/>
      <c r="J137" s="323">
        <f>+'Plan de Accion Proyectos estrat'!AG17</f>
        <v>0</v>
      </c>
      <c r="K137" s="755">
        <f>AVERAGE('Plan de Accion Proyectos estrat'!AI17:AI17)</f>
        <v>0</v>
      </c>
      <c r="L137" s="755">
        <f t="shared" ref="L137:L144" si="80">IF(K137&gt;100%,100%,K137)</f>
        <v>0</v>
      </c>
      <c r="M137" s="755">
        <f>AVERAGE('Plan de Accion Proyectos estrat'!AK17:AK17)</f>
        <v>0</v>
      </c>
      <c r="N137" s="755">
        <f t="shared" si="49"/>
        <v>0</v>
      </c>
      <c r="O137" s="754">
        <f t="shared" si="68"/>
        <v>0</v>
      </c>
      <c r="P137" s="229"/>
      <c r="Q137" s="323">
        <f>+'Plan de Accion Proyectos estrat'!AQ17</f>
        <v>0.25</v>
      </c>
      <c r="R137" s="755">
        <f>AVERAGE('Plan de Accion Proyectos estrat'!AS17:AS17)</f>
        <v>1</v>
      </c>
      <c r="S137" s="755">
        <f t="shared" ref="S137:S144" si="81">IF(R137&gt;100%,100%,R137)</f>
        <v>1</v>
      </c>
      <c r="T137" s="755">
        <f>AVERAGE('Plan de Accion Proyectos estrat'!AU17:AU17)</f>
        <v>0.25</v>
      </c>
      <c r="U137" s="755">
        <f t="shared" ref="U137:U144" si="82">IF(T137&gt;100%,100%,T137)</f>
        <v>0.25</v>
      </c>
      <c r="V137" s="754">
        <f t="shared" ref="V137:V151" si="83">+U137</f>
        <v>0.25</v>
      </c>
      <c r="W137" s="229"/>
      <c r="X137" s="323">
        <f>+'Plan de Accion Proyectos estrat'!BA17</f>
        <v>0</v>
      </c>
      <c r="Y137" s="755">
        <f>AVERAGE('Plan de Accion Proyectos estrat'!BC17:BC17)</f>
        <v>0</v>
      </c>
      <c r="Z137" s="755">
        <f t="shared" ref="Z137:Z151" si="84">IF(Y137&gt;100%,100%,Y137)</f>
        <v>0</v>
      </c>
      <c r="AA137" s="756">
        <f>AVERAGE('Plan de Accion Proyectos estrat'!BE17:BE17)</f>
        <v>0.25</v>
      </c>
      <c r="AB137" s="756">
        <f t="shared" ref="AB137:AB151" si="85">IF(AA137&gt;100%,100%,AA137)</f>
        <v>0.25</v>
      </c>
      <c r="AC137" s="757">
        <f t="shared" ref="AC137:AC151" si="86">+AB137</f>
        <v>0.25</v>
      </c>
      <c r="AD137" s="229"/>
      <c r="AE137" s="323">
        <f>+'Plan de Accion Proyectos estrat'!BK17</f>
        <v>0</v>
      </c>
      <c r="AF137" s="755">
        <f>AVERAGE('Plan de Accion Proyectos estrat'!BM17:BM17)</f>
        <v>0</v>
      </c>
      <c r="AG137" s="755">
        <f t="shared" ref="AG137:AG151" si="87">IF(AF137&gt;100%,100%,AF137)</f>
        <v>0</v>
      </c>
      <c r="AH137" s="755">
        <f>AVERAGE('Plan de Accion Proyectos estrat'!BO17:BO17)</f>
        <v>0.25</v>
      </c>
      <c r="AI137" s="754">
        <f t="shared" ref="AI137:AI152" si="88">IF(AH137&gt;100%,100%,AH137)</f>
        <v>0.25</v>
      </c>
      <c r="AJ137" s="1273"/>
      <c r="AK137" s="253"/>
      <c r="AL137" s="1278"/>
      <c r="AM137" s="1267"/>
      <c r="AN137" s="220"/>
      <c r="AO137" s="1278"/>
      <c r="AP137" s="1267"/>
      <c r="AQ137" s="220"/>
      <c r="AR137" s="1278"/>
      <c r="AS137" s="1267"/>
      <c r="AT137" s="220"/>
      <c r="AU137" s="1278"/>
      <c r="AV137" s="1267"/>
      <c r="AW137" s="218"/>
      <c r="AX137" s="1274"/>
      <c r="AY137" s="252"/>
      <c r="AZ137" s="1278"/>
      <c r="BA137" s="1267"/>
      <c r="BB137" s="220"/>
      <c r="BC137" s="1278"/>
      <c r="BD137" s="1267"/>
      <c r="BE137" s="220"/>
      <c r="BF137" s="1278"/>
      <c r="BG137" s="1267"/>
      <c r="BH137" s="220"/>
      <c r="BI137" s="1278"/>
      <c r="BJ137" s="1267"/>
      <c r="BK137" s="218"/>
      <c r="BL137" s="1274"/>
      <c r="BN137" s="1278"/>
      <c r="BO137" s="1267"/>
      <c r="BP137" s="220"/>
      <c r="BQ137" s="1278"/>
      <c r="BR137" s="1267"/>
      <c r="BS137" s="220"/>
      <c r="BT137" s="1278"/>
      <c r="BU137" s="1267"/>
      <c r="BV137" s="220"/>
      <c r="BW137" s="1278"/>
      <c r="BX137" s="1267"/>
      <c r="BY137" s="218"/>
      <c r="BZ137" s="1274"/>
      <c r="CB137" s="1278"/>
      <c r="CC137" s="1267"/>
      <c r="CD137" s="220"/>
      <c r="CE137" s="1278"/>
      <c r="CF137" s="1267"/>
      <c r="CG137" s="220"/>
      <c r="CH137" s="1278"/>
      <c r="CI137" s="1267"/>
      <c r="CJ137" s="220"/>
      <c r="CK137" s="1278"/>
      <c r="CL137" s="1267"/>
      <c r="CM137" s="218"/>
      <c r="CN137" s="1274"/>
    </row>
    <row r="138" spans="2:94" ht="66.75" customHeight="1" x14ac:dyDescent="0.25">
      <c r="B138" s="1341"/>
      <c r="C138" s="1231"/>
      <c r="D138" s="1234"/>
      <c r="E138" s="1303"/>
      <c r="F138" s="1304"/>
      <c r="G138" s="328" t="str">
        <f>+'Plan de Accion Proyectos estrat'!K18</f>
        <v>Correos electrónicos de solicitud de publicación del giro por recobros</v>
      </c>
      <c r="H138" s="240" t="str">
        <f>+'Plan de Accion Proyectos estrat'!X18</f>
        <v># Solicitudes de publicación de giros por recobros / # ordenaciones de giros por recobros</v>
      </c>
      <c r="I138" s="254"/>
      <c r="J138" s="323">
        <f>+'Plan de Accion Proyectos estrat'!AG18</f>
        <v>0.25</v>
      </c>
      <c r="K138" s="503">
        <f>+'Plan de Accion Proyectos estrat'!AI18</f>
        <v>1</v>
      </c>
      <c r="L138" s="503">
        <f t="shared" si="80"/>
        <v>1</v>
      </c>
      <c r="M138" s="503">
        <f>+'Plan de Accion Proyectos estrat'!AK18</f>
        <v>0.25</v>
      </c>
      <c r="N138" s="503">
        <f t="shared" si="49"/>
        <v>0.25</v>
      </c>
      <c r="O138" s="505">
        <f t="shared" si="68"/>
        <v>0.25</v>
      </c>
      <c r="P138" s="229"/>
      <c r="Q138" s="323">
        <f>+'Plan de Accion Proyectos estrat'!AQ18</f>
        <v>0.25</v>
      </c>
      <c r="R138" s="324">
        <f>+'Plan de Accion Proyectos estrat'!AS18</f>
        <v>1</v>
      </c>
      <c r="S138" s="228">
        <f t="shared" si="81"/>
        <v>1</v>
      </c>
      <c r="T138" s="324">
        <f>+'Plan de Accion Proyectos estrat'!AU18</f>
        <v>0.5</v>
      </c>
      <c r="U138" s="324">
        <f t="shared" si="82"/>
        <v>0.5</v>
      </c>
      <c r="V138" s="227">
        <f t="shared" si="83"/>
        <v>0.5</v>
      </c>
      <c r="W138" s="229"/>
      <c r="X138" s="323">
        <f>+'Plan de Accion Proyectos estrat'!BA18</f>
        <v>0</v>
      </c>
      <c r="Y138" s="324">
        <f>+'Plan de Accion Proyectos estrat'!BC18</f>
        <v>0</v>
      </c>
      <c r="Z138" s="228">
        <f t="shared" si="84"/>
        <v>0</v>
      </c>
      <c r="AA138" s="233">
        <f>+'Plan de Accion Proyectos estrat'!BE18</f>
        <v>0.5</v>
      </c>
      <c r="AB138" s="233">
        <f t="shared" si="85"/>
        <v>0.5</v>
      </c>
      <c r="AC138" s="232">
        <f t="shared" si="86"/>
        <v>0.5</v>
      </c>
      <c r="AD138" s="229"/>
      <c r="AE138" s="323">
        <f>+'Plan de Accion Proyectos estrat'!BK18</f>
        <v>0</v>
      </c>
      <c r="AF138" s="324">
        <f>+'Plan de Accion Proyectos estrat'!BM18</f>
        <v>0</v>
      </c>
      <c r="AG138" s="228">
        <f t="shared" si="87"/>
        <v>0</v>
      </c>
      <c r="AH138" s="324">
        <f>+'Plan de Accion Proyectos estrat'!BO18</f>
        <v>0.5</v>
      </c>
      <c r="AI138" s="227">
        <f t="shared" si="88"/>
        <v>0.5</v>
      </c>
      <c r="AJ138" s="1256"/>
      <c r="AK138" s="253"/>
      <c r="AL138" s="1279"/>
      <c r="AM138" s="1258"/>
      <c r="AN138" s="220"/>
      <c r="AO138" s="1279"/>
      <c r="AP138" s="1258"/>
      <c r="AQ138" s="220"/>
      <c r="AR138" s="1279"/>
      <c r="AS138" s="1258"/>
      <c r="AT138" s="220"/>
      <c r="AU138" s="1279"/>
      <c r="AV138" s="1258"/>
      <c r="AW138" s="218"/>
      <c r="AX138" s="1275"/>
      <c r="AY138" s="252"/>
      <c r="AZ138" s="1279"/>
      <c r="BA138" s="1258"/>
      <c r="BB138" s="220"/>
      <c r="BC138" s="1279"/>
      <c r="BD138" s="1258"/>
      <c r="BE138" s="220"/>
      <c r="BF138" s="1279"/>
      <c r="BG138" s="1258"/>
      <c r="BH138" s="220"/>
      <c r="BI138" s="1279"/>
      <c r="BJ138" s="1258"/>
      <c r="BK138" s="218"/>
      <c r="BL138" s="1275"/>
      <c r="BN138" s="1279"/>
      <c r="BO138" s="1258"/>
      <c r="BP138" s="220"/>
      <c r="BQ138" s="1279"/>
      <c r="BR138" s="1258"/>
      <c r="BS138" s="220"/>
      <c r="BT138" s="1279"/>
      <c r="BU138" s="1258"/>
      <c r="BV138" s="220"/>
      <c r="BW138" s="1279"/>
      <c r="BX138" s="1258"/>
      <c r="BY138" s="218"/>
      <c r="BZ138" s="1275"/>
      <c r="CB138" s="1279"/>
      <c r="CC138" s="1258"/>
      <c r="CD138" s="220"/>
      <c r="CE138" s="1279"/>
      <c r="CF138" s="1258"/>
      <c r="CG138" s="220"/>
      <c r="CH138" s="1279"/>
      <c r="CI138" s="1258"/>
      <c r="CJ138" s="220"/>
      <c r="CK138" s="1279"/>
      <c r="CL138" s="1258"/>
      <c r="CM138" s="218"/>
      <c r="CN138" s="1275"/>
    </row>
    <row r="139" spans="2:94" ht="132.75" customHeight="1" x14ac:dyDescent="0.25">
      <c r="B139" s="1341"/>
      <c r="C139" s="1231"/>
      <c r="D139" s="1234"/>
      <c r="E139" s="1303"/>
      <c r="F139" s="1304"/>
      <c r="G139" s="328" t="str">
        <f>+'Plan de Accion Proyectos estrat'!K19</f>
        <v>Comunicaciones de ordenación del gasto resultantes del proceso de pagos de los paquetes de reclamaciones cuyo trámite de auditoria haya culminado</v>
      </c>
      <c r="H139" s="240" t="str">
        <f>+'Plan de Accion Proyectos estrat'!X19</f>
        <v># Ordenaciones de paquetes de reclamaciones con resultado de auditoría se encuentre certificado o haya sido allegado el auto de desistimiento / # paquetes cuyo tramite de auditoría se encuentre certificado o haya sido allegado el auto de desistimiento</v>
      </c>
      <c r="I139" s="254"/>
      <c r="J139" s="323">
        <f>+'Plan de Accion Proyectos estrat'!AG19</f>
        <v>0.25</v>
      </c>
      <c r="K139" s="503">
        <f>+'Plan de Accion Proyectos estrat'!AI19</f>
        <v>1</v>
      </c>
      <c r="L139" s="503">
        <f t="shared" si="80"/>
        <v>1</v>
      </c>
      <c r="M139" s="503">
        <f>+'Plan de Accion Proyectos estrat'!AK19</f>
        <v>0.25</v>
      </c>
      <c r="N139" s="503">
        <f t="shared" si="49"/>
        <v>0.25</v>
      </c>
      <c r="O139" s="505">
        <f t="shared" si="68"/>
        <v>0.25</v>
      </c>
      <c r="P139" s="229"/>
      <c r="Q139" s="323">
        <f>+'Plan de Accion Proyectos estrat'!AQ19</f>
        <v>0.25</v>
      </c>
      <c r="R139" s="324">
        <f>+'Plan de Accion Proyectos estrat'!AS19</f>
        <v>1</v>
      </c>
      <c r="S139" s="228">
        <f t="shared" si="81"/>
        <v>1</v>
      </c>
      <c r="T139" s="324">
        <f>+'Plan de Accion Proyectos estrat'!AU19</f>
        <v>0.5</v>
      </c>
      <c r="U139" s="324">
        <f t="shared" si="82"/>
        <v>0.5</v>
      </c>
      <c r="V139" s="227">
        <f t="shared" si="83"/>
        <v>0.5</v>
      </c>
      <c r="W139" s="229"/>
      <c r="X139" s="323">
        <f>+'Plan de Accion Proyectos estrat'!BA19</f>
        <v>0</v>
      </c>
      <c r="Y139" s="324">
        <f>+'Plan de Accion Proyectos estrat'!BC19</f>
        <v>0</v>
      </c>
      <c r="Z139" s="228">
        <f t="shared" si="84"/>
        <v>0</v>
      </c>
      <c r="AA139" s="233">
        <f>+'Plan de Accion Proyectos estrat'!BE19</f>
        <v>0.5</v>
      </c>
      <c r="AB139" s="233">
        <f t="shared" si="85"/>
        <v>0.5</v>
      </c>
      <c r="AC139" s="232">
        <f t="shared" si="86"/>
        <v>0.5</v>
      </c>
      <c r="AD139" s="229"/>
      <c r="AE139" s="323">
        <f>+'Plan de Accion Proyectos estrat'!BK19</f>
        <v>0</v>
      </c>
      <c r="AF139" s="324">
        <f>+'Plan de Accion Proyectos estrat'!BM19</f>
        <v>0</v>
      </c>
      <c r="AG139" s="228">
        <f t="shared" si="87"/>
        <v>0</v>
      </c>
      <c r="AH139" s="324">
        <f>+'Plan de Accion Proyectos estrat'!BO19</f>
        <v>0.5</v>
      </c>
      <c r="AI139" s="227">
        <f t="shared" si="88"/>
        <v>0.5</v>
      </c>
      <c r="AJ139" s="1256"/>
      <c r="AK139" s="253"/>
      <c r="AL139" s="1279"/>
      <c r="AM139" s="1258"/>
      <c r="AN139" s="220"/>
      <c r="AO139" s="1279"/>
      <c r="AP139" s="1258"/>
      <c r="AQ139" s="220"/>
      <c r="AR139" s="1279"/>
      <c r="AS139" s="1258"/>
      <c r="AT139" s="220"/>
      <c r="AU139" s="1279"/>
      <c r="AV139" s="1258"/>
      <c r="AW139" s="218"/>
      <c r="AX139" s="1275"/>
      <c r="AY139" s="252"/>
      <c r="AZ139" s="1279"/>
      <c r="BA139" s="1258"/>
      <c r="BB139" s="220"/>
      <c r="BC139" s="1279"/>
      <c r="BD139" s="1258"/>
      <c r="BE139" s="220"/>
      <c r="BF139" s="1279"/>
      <c r="BG139" s="1258"/>
      <c r="BH139" s="220"/>
      <c r="BI139" s="1279"/>
      <c r="BJ139" s="1258"/>
      <c r="BK139" s="218"/>
      <c r="BL139" s="1275"/>
      <c r="BN139" s="1279"/>
      <c r="BO139" s="1258"/>
      <c r="BP139" s="220"/>
      <c r="BQ139" s="1279"/>
      <c r="BR139" s="1258"/>
      <c r="BS139" s="220"/>
      <c r="BT139" s="1279"/>
      <c r="BU139" s="1258"/>
      <c r="BV139" s="220"/>
      <c r="BW139" s="1279"/>
      <c r="BX139" s="1258"/>
      <c r="BY139" s="218"/>
      <c r="BZ139" s="1275"/>
      <c r="CB139" s="1279"/>
      <c r="CC139" s="1258"/>
      <c r="CD139" s="220"/>
      <c r="CE139" s="1279"/>
      <c r="CF139" s="1258"/>
      <c r="CG139" s="220"/>
      <c r="CH139" s="1279"/>
      <c r="CI139" s="1258"/>
      <c r="CJ139" s="220"/>
      <c r="CK139" s="1279"/>
      <c r="CL139" s="1258"/>
      <c r="CM139" s="218"/>
      <c r="CN139" s="1275"/>
    </row>
    <row r="140" spans="2:94" ht="57" customHeight="1" x14ac:dyDescent="0.25">
      <c r="B140" s="1341"/>
      <c r="C140" s="1232"/>
      <c r="D140" s="1235"/>
      <c r="E140" s="1303"/>
      <c r="F140" s="1304"/>
      <c r="G140" s="328" t="str">
        <f>+'Plan de Accion Proyectos estrat'!K20</f>
        <v>Correos electrónicos de solicitud de publicación del giro por reclamaciones</v>
      </c>
      <c r="H140" s="240" t="str">
        <f>+'Plan de Accion Proyectos estrat'!X20</f>
        <v># Solicitudes de publicación de giros por ordenación de paquetes de reclamaciones / # ordenaciones de giros de paquetes por reclamaciones</v>
      </c>
      <c r="I140" s="254"/>
      <c r="J140" s="323">
        <f>+'Plan de Accion Proyectos estrat'!AG20</f>
        <v>0.25</v>
      </c>
      <c r="K140" s="503">
        <f>+'Plan de Accion Proyectos estrat'!AI20</f>
        <v>1</v>
      </c>
      <c r="L140" s="503">
        <f t="shared" si="80"/>
        <v>1</v>
      </c>
      <c r="M140" s="503">
        <f>+'Plan de Accion Proyectos estrat'!AK20</f>
        <v>0.25</v>
      </c>
      <c r="N140" s="503">
        <f t="shared" si="49"/>
        <v>0.25</v>
      </c>
      <c r="O140" s="505">
        <f t="shared" si="68"/>
        <v>0.25</v>
      </c>
      <c r="P140" s="229"/>
      <c r="Q140" s="323">
        <f>+'Plan de Accion Proyectos estrat'!AQ20</f>
        <v>0.25</v>
      </c>
      <c r="R140" s="324">
        <f>+'Plan de Accion Proyectos estrat'!AS20</f>
        <v>1</v>
      </c>
      <c r="S140" s="228">
        <f t="shared" si="81"/>
        <v>1</v>
      </c>
      <c r="T140" s="324">
        <f>+'Plan de Accion Proyectos estrat'!AU20</f>
        <v>0.5</v>
      </c>
      <c r="U140" s="324">
        <f t="shared" si="82"/>
        <v>0.5</v>
      </c>
      <c r="V140" s="227">
        <f t="shared" si="83"/>
        <v>0.5</v>
      </c>
      <c r="W140" s="229"/>
      <c r="X140" s="323">
        <f>+'Plan de Accion Proyectos estrat'!BA20</f>
        <v>0</v>
      </c>
      <c r="Y140" s="324">
        <f>+'Plan de Accion Proyectos estrat'!BC20</f>
        <v>0</v>
      </c>
      <c r="Z140" s="228">
        <f t="shared" si="84"/>
        <v>0</v>
      </c>
      <c r="AA140" s="233">
        <f>+'Plan de Accion Proyectos estrat'!BE20</f>
        <v>0.5</v>
      </c>
      <c r="AB140" s="233">
        <f t="shared" si="85"/>
        <v>0.5</v>
      </c>
      <c r="AC140" s="232">
        <f t="shared" si="86"/>
        <v>0.5</v>
      </c>
      <c r="AD140" s="229"/>
      <c r="AE140" s="323">
        <f>+'Plan de Accion Proyectos estrat'!BK20</f>
        <v>0</v>
      </c>
      <c r="AF140" s="324">
        <f>+'Plan de Accion Proyectos estrat'!BM20</f>
        <v>0</v>
      </c>
      <c r="AG140" s="228">
        <f t="shared" si="87"/>
        <v>0</v>
      </c>
      <c r="AH140" s="324">
        <f>+'Plan de Accion Proyectos estrat'!BO20</f>
        <v>0.5</v>
      </c>
      <c r="AI140" s="227">
        <f t="shared" si="88"/>
        <v>0.5</v>
      </c>
      <c r="AJ140" s="1256"/>
      <c r="AK140" s="253"/>
      <c r="AL140" s="1279"/>
      <c r="AM140" s="1258"/>
      <c r="AN140" s="220"/>
      <c r="AO140" s="1279"/>
      <c r="AP140" s="1258"/>
      <c r="AQ140" s="220"/>
      <c r="AR140" s="1279"/>
      <c r="AS140" s="1258"/>
      <c r="AT140" s="220"/>
      <c r="AU140" s="1279"/>
      <c r="AV140" s="1258"/>
      <c r="AW140" s="218"/>
      <c r="AX140" s="1275"/>
      <c r="AY140" s="252"/>
      <c r="AZ140" s="1279"/>
      <c r="BA140" s="1258"/>
      <c r="BB140" s="220"/>
      <c r="BC140" s="1279"/>
      <c r="BD140" s="1258"/>
      <c r="BE140" s="220"/>
      <c r="BF140" s="1279"/>
      <c r="BG140" s="1258"/>
      <c r="BH140" s="220"/>
      <c r="BI140" s="1279"/>
      <c r="BJ140" s="1258"/>
      <c r="BK140" s="218"/>
      <c r="BL140" s="1275"/>
      <c r="BN140" s="1279"/>
      <c r="BO140" s="1258"/>
      <c r="BP140" s="220"/>
      <c r="BQ140" s="1279"/>
      <c r="BR140" s="1258"/>
      <c r="BS140" s="220"/>
      <c r="BT140" s="1279"/>
      <c r="BU140" s="1258"/>
      <c r="BV140" s="220"/>
      <c r="BW140" s="1279"/>
      <c r="BX140" s="1258"/>
      <c r="BY140" s="218"/>
      <c r="BZ140" s="1275"/>
      <c r="CB140" s="1279"/>
      <c r="CC140" s="1258"/>
      <c r="CD140" s="220"/>
      <c r="CE140" s="1279"/>
      <c r="CF140" s="1258"/>
      <c r="CG140" s="220"/>
      <c r="CH140" s="1279"/>
      <c r="CI140" s="1258"/>
      <c r="CJ140" s="220"/>
      <c r="CK140" s="1279"/>
      <c r="CL140" s="1258"/>
      <c r="CM140" s="218"/>
      <c r="CN140" s="1275"/>
    </row>
    <row r="141" spans="2:94" ht="71.25" customHeight="1" x14ac:dyDescent="0.25">
      <c r="B141" s="1341"/>
      <c r="C141" s="1233" t="s">
        <v>1180</v>
      </c>
      <c r="D141" s="1233" t="s">
        <v>1182</v>
      </c>
      <c r="E141" s="1211" t="s">
        <v>1181</v>
      </c>
      <c r="F141" s="1201" t="s">
        <v>330</v>
      </c>
      <c r="G141" s="328" t="str">
        <f>+'Plan de Accion Proyectos estrat'!K21</f>
        <v xml:space="preserve">Estadísticas de registros de las auditorias preventivas por entidad con errores </v>
      </c>
      <c r="H141" s="240" t="str">
        <f>+'Plan de Accion Proyectos estrat'!X21</f>
        <v xml:space="preserve"># Registros corregidos en la BDUA / # Registros notificados en auditorias preventivas </v>
      </c>
      <c r="I141" s="254"/>
      <c r="J141" s="563">
        <f>+'Plan de Accion Proyectos estrat'!AG21</f>
        <v>2.5000705854830534E-2</v>
      </c>
      <c r="K141" s="564">
        <f>+'Plan de Accion Proyectos estrat'!AI21</f>
        <v>1.0000282341932214</v>
      </c>
      <c r="L141" s="503">
        <f t="shared" si="80"/>
        <v>1</v>
      </c>
      <c r="M141" s="503">
        <f>+'Plan de Accion Proyectos estrat'!AK21</f>
        <v>0.25000705854830535</v>
      </c>
      <c r="N141" s="503">
        <f t="shared" si="49"/>
        <v>0.25000705854830535</v>
      </c>
      <c r="O141" s="505">
        <f t="shared" si="68"/>
        <v>0.25000705854830535</v>
      </c>
      <c r="P141" s="229"/>
      <c r="Q141" s="323">
        <f>+'Plan de Accion Proyectos estrat'!AQ21</f>
        <v>2.5000536590900031E-2</v>
      </c>
      <c r="R141" s="324">
        <f>+'Plan de Accion Proyectos estrat'!AS21</f>
        <v>1.0000214636360012</v>
      </c>
      <c r="S141" s="228">
        <f t="shared" si="81"/>
        <v>1</v>
      </c>
      <c r="T141" s="324">
        <f>+'Plan de Accion Proyectos estrat'!AU21</f>
        <v>0.50001242445730565</v>
      </c>
      <c r="U141" s="324">
        <f t="shared" si="82"/>
        <v>0.50001242445730565</v>
      </c>
      <c r="V141" s="227">
        <f t="shared" si="83"/>
        <v>0.50001242445730565</v>
      </c>
      <c r="W141" s="229"/>
      <c r="X141" s="323">
        <f>+'Plan de Accion Proyectos estrat'!BA21</f>
        <v>0</v>
      </c>
      <c r="Y141" s="324">
        <f>+'Plan de Accion Proyectos estrat'!BC21</f>
        <v>0</v>
      </c>
      <c r="Z141" s="228">
        <f t="shared" si="84"/>
        <v>0</v>
      </c>
      <c r="AA141" s="233">
        <f>+'Plan de Accion Proyectos estrat'!BE21</f>
        <v>0.50001242445730565</v>
      </c>
      <c r="AB141" s="233">
        <f t="shared" si="85"/>
        <v>0.50001242445730565</v>
      </c>
      <c r="AC141" s="232">
        <f t="shared" si="86"/>
        <v>0.50001242445730565</v>
      </c>
      <c r="AD141" s="229"/>
      <c r="AE141" s="323">
        <f>+'Plan de Accion Proyectos estrat'!BK21</f>
        <v>0</v>
      </c>
      <c r="AF141" s="324">
        <f>+'Plan de Accion Proyectos estrat'!BM21</f>
        <v>0</v>
      </c>
      <c r="AG141" s="228">
        <f t="shared" si="87"/>
        <v>0</v>
      </c>
      <c r="AH141" s="324">
        <f>+'Plan de Accion Proyectos estrat'!BO21</f>
        <v>0.50001242445730565</v>
      </c>
      <c r="AI141" s="227">
        <f t="shared" si="88"/>
        <v>0.50001242445730565</v>
      </c>
      <c r="AJ141" s="1256"/>
      <c r="AK141" s="253"/>
      <c r="AL141" s="1279"/>
      <c r="AM141" s="1258"/>
      <c r="AN141" s="220"/>
      <c r="AO141" s="1279"/>
      <c r="AP141" s="1258"/>
      <c r="AQ141" s="220"/>
      <c r="AR141" s="1279"/>
      <c r="AS141" s="1258"/>
      <c r="AT141" s="220"/>
      <c r="AU141" s="1279"/>
      <c r="AV141" s="1258"/>
      <c r="AW141" s="218"/>
      <c r="AX141" s="1275"/>
      <c r="AY141" s="252"/>
      <c r="AZ141" s="1279"/>
      <c r="BA141" s="1258"/>
      <c r="BB141" s="220"/>
      <c r="BC141" s="1279"/>
      <c r="BD141" s="1258"/>
      <c r="BE141" s="220"/>
      <c r="BF141" s="1279"/>
      <c r="BG141" s="1258"/>
      <c r="BH141" s="220"/>
      <c r="BI141" s="1279"/>
      <c r="BJ141" s="1258"/>
      <c r="BK141" s="218"/>
      <c r="BL141" s="1275"/>
      <c r="BN141" s="1279"/>
      <c r="BO141" s="1258"/>
      <c r="BP141" s="220"/>
      <c r="BQ141" s="1279"/>
      <c r="BR141" s="1258"/>
      <c r="BS141" s="220"/>
      <c r="BT141" s="1279"/>
      <c r="BU141" s="1258"/>
      <c r="BV141" s="220"/>
      <c r="BW141" s="1279"/>
      <c r="BX141" s="1258"/>
      <c r="BY141" s="218"/>
      <c r="BZ141" s="1275"/>
      <c r="CB141" s="1279"/>
      <c r="CC141" s="1258"/>
      <c r="CD141" s="220"/>
      <c r="CE141" s="1279"/>
      <c r="CF141" s="1258"/>
      <c r="CG141" s="220"/>
      <c r="CH141" s="1279"/>
      <c r="CI141" s="1258"/>
      <c r="CJ141" s="220"/>
      <c r="CK141" s="1279"/>
      <c r="CL141" s="1258"/>
      <c r="CM141" s="218"/>
      <c r="CN141" s="1275"/>
    </row>
    <row r="142" spans="2:94" ht="42.75" customHeight="1" x14ac:dyDescent="0.25">
      <c r="B142" s="1341"/>
      <c r="C142" s="1234"/>
      <c r="D142" s="1234"/>
      <c r="E142" s="1212"/>
      <c r="F142" s="1201"/>
      <c r="G142" s="328" t="str">
        <f>+'Plan de Accion Proyectos estrat'!K22</f>
        <v>Informes de auditorias correctivas según resolución 2199 de 2013 y 4894 de 2015</v>
      </c>
      <c r="H142" s="1305" t="str">
        <f>+'Plan de Accion Proyectos estrat'!X22</f>
        <v># de registro depurados por ADRES + # Registros correctos / # Número total de registros notificados en auditorias correctivas</v>
      </c>
      <c r="I142" s="254"/>
      <c r="J142" s="1246">
        <f>+'Plan de Accion Proyectos estrat'!AG22</f>
        <v>0.25</v>
      </c>
      <c r="K142" s="1197">
        <f>+'Plan de Accion Proyectos estrat'!AI22</f>
        <v>1</v>
      </c>
      <c r="L142" s="1197">
        <f t="shared" si="80"/>
        <v>1</v>
      </c>
      <c r="M142" s="1197">
        <f>+'Plan de Accion Proyectos estrat'!AK22</f>
        <v>0.25</v>
      </c>
      <c r="N142" s="1197">
        <f>IF(M142&gt;100%,100%,M142)</f>
        <v>0.25</v>
      </c>
      <c r="O142" s="1192">
        <f t="shared" si="68"/>
        <v>0.25</v>
      </c>
      <c r="P142" s="229"/>
      <c r="Q142" s="1246">
        <f>+'Plan de Accion Proyectos estrat'!AQ22</f>
        <v>0.25</v>
      </c>
      <c r="R142" s="1249">
        <f>+'Plan de Accion Proyectos estrat'!AS22</f>
        <v>1</v>
      </c>
      <c r="S142" s="1249">
        <f t="shared" si="81"/>
        <v>1</v>
      </c>
      <c r="T142" s="1249">
        <f>+'Plan de Accion Proyectos estrat'!AU22</f>
        <v>5</v>
      </c>
      <c r="U142" s="1249">
        <f t="shared" si="82"/>
        <v>1</v>
      </c>
      <c r="V142" s="1252">
        <f t="shared" si="83"/>
        <v>1</v>
      </c>
      <c r="W142" s="229"/>
      <c r="X142" s="1246">
        <f>+'Plan de Accion Proyectos estrat'!BA22</f>
        <v>0</v>
      </c>
      <c r="Y142" s="1249">
        <f>+'Plan de Accion Proyectos estrat'!BC22</f>
        <v>0</v>
      </c>
      <c r="Z142" s="1249">
        <f t="shared" si="84"/>
        <v>0</v>
      </c>
      <c r="AA142" s="1254">
        <f>+'Plan de Accion Proyectos estrat'!BE22</f>
        <v>5</v>
      </c>
      <c r="AB142" s="1254">
        <f t="shared" si="85"/>
        <v>1</v>
      </c>
      <c r="AC142" s="1244">
        <f t="shared" si="86"/>
        <v>1</v>
      </c>
      <c r="AD142" s="229"/>
      <c r="AE142" s="1246">
        <f>+'Plan de Accion Proyectos estrat'!BK22</f>
        <v>0</v>
      </c>
      <c r="AF142" s="1249">
        <f>+'Plan de Accion Proyectos estrat'!BM22</f>
        <v>0</v>
      </c>
      <c r="AG142" s="1249">
        <f t="shared" si="87"/>
        <v>0</v>
      </c>
      <c r="AH142" s="1249">
        <f>+'Plan de Accion Proyectos estrat'!BO22</f>
        <v>5</v>
      </c>
      <c r="AI142" s="1252">
        <f t="shared" si="88"/>
        <v>1</v>
      </c>
      <c r="AJ142" s="1256"/>
      <c r="AK142" s="253"/>
      <c r="AL142" s="1279"/>
      <c r="AM142" s="1258"/>
      <c r="AN142" s="220"/>
      <c r="AO142" s="1279"/>
      <c r="AP142" s="1258"/>
      <c r="AQ142" s="220"/>
      <c r="AR142" s="1279"/>
      <c r="AS142" s="1258"/>
      <c r="AT142" s="220"/>
      <c r="AU142" s="1279"/>
      <c r="AV142" s="1258"/>
      <c r="AW142" s="218"/>
      <c r="AX142" s="1275"/>
      <c r="AY142" s="252"/>
      <c r="AZ142" s="1279"/>
      <c r="BA142" s="1258"/>
      <c r="BB142" s="220"/>
      <c r="BC142" s="1279"/>
      <c r="BD142" s="1258"/>
      <c r="BE142" s="220"/>
      <c r="BF142" s="1279"/>
      <c r="BG142" s="1258"/>
      <c r="BH142" s="220"/>
      <c r="BI142" s="1279"/>
      <c r="BJ142" s="1258"/>
      <c r="BK142" s="218"/>
      <c r="BL142" s="1275"/>
      <c r="BN142" s="1279"/>
      <c r="BO142" s="1258"/>
      <c r="BP142" s="220"/>
      <c r="BQ142" s="1279"/>
      <c r="BR142" s="1258"/>
      <c r="BS142" s="220"/>
      <c r="BT142" s="1279"/>
      <c r="BU142" s="1258"/>
      <c r="BV142" s="220"/>
      <c r="BW142" s="1279"/>
      <c r="BX142" s="1258"/>
      <c r="BY142" s="218"/>
      <c r="BZ142" s="1275"/>
      <c r="CB142" s="1279"/>
      <c r="CC142" s="1258"/>
      <c r="CD142" s="220"/>
      <c r="CE142" s="1279"/>
      <c r="CF142" s="1258"/>
      <c r="CG142" s="220"/>
      <c r="CH142" s="1279"/>
      <c r="CI142" s="1258"/>
      <c r="CJ142" s="220"/>
      <c r="CK142" s="1279"/>
      <c r="CL142" s="1258"/>
      <c r="CM142" s="218"/>
      <c r="CN142" s="1275"/>
    </row>
    <row r="143" spans="2:94" ht="87.75" customHeight="1" x14ac:dyDescent="0.25">
      <c r="B143" s="1341"/>
      <c r="C143" s="1234"/>
      <c r="D143" s="1234"/>
      <c r="E143" s="1212"/>
      <c r="F143" s="1201"/>
      <c r="G143" s="328" t="str">
        <f>+'Plan de Accion Proyectos estrat'!K23</f>
        <v>Depuración de registros de BDUA de acuerdo con solicitudes del MSPS, según resolución 2199 de 2013 y 4894 de 2015</v>
      </c>
      <c r="H143" s="1306"/>
      <c r="I143" s="254"/>
      <c r="J143" s="1248"/>
      <c r="K143" s="1199"/>
      <c r="L143" s="1199"/>
      <c r="M143" s="1199"/>
      <c r="N143" s="1199"/>
      <c r="O143" s="1193"/>
      <c r="P143" s="229"/>
      <c r="Q143" s="1248"/>
      <c r="R143" s="1251"/>
      <c r="S143" s="1251"/>
      <c r="T143" s="1251"/>
      <c r="U143" s="1251"/>
      <c r="V143" s="1253"/>
      <c r="W143" s="229"/>
      <c r="X143" s="1248"/>
      <c r="Y143" s="1251"/>
      <c r="Z143" s="1251"/>
      <c r="AA143" s="1255"/>
      <c r="AB143" s="1255"/>
      <c r="AC143" s="1245"/>
      <c r="AD143" s="229"/>
      <c r="AE143" s="1248"/>
      <c r="AF143" s="1251"/>
      <c r="AG143" s="1251"/>
      <c r="AH143" s="1251"/>
      <c r="AI143" s="1253"/>
      <c r="AJ143" s="1256"/>
      <c r="AK143" s="253"/>
      <c r="AL143" s="1279"/>
      <c r="AM143" s="1258"/>
      <c r="AN143" s="220"/>
      <c r="AO143" s="1279"/>
      <c r="AP143" s="1258"/>
      <c r="AQ143" s="220"/>
      <c r="AR143" s="1279"/>
      <c r="AS143" s="1258"/>
      <c r="AT143" s="220"/>
      <c r="AU143" s="1279"/>
      <c r="AV143" s="1258"/>
      <c r="AW143" s="218"/>
      <c r="AX143" s="1275"/>
      <c r="AY143" s="252"/>
      <c r="AZ143" s="1279"/>
      <c r="BA143" s="1258"/>
      <c r="BB143" s="220"/>
      <c r="BC143" s="1279"/>
      <c r="BD143" s="1258"/>
      <c r="BE143" s="220"/>
      <c r="BF143" s="1279"/>
      <c r="BG143" s="1258"/>
      <c r="BH143" s="220"/>
      <c r="BI143" s="1279"/>
      <c r="BJ143" s="1258"/>
      <c r="BK143" s="218"/>
      <c r="BL143" s="1275"/>
      <c r="BN143" s="1279"/>
      <c r="BO143" s="1258"/>
      <c r="BP143" s="220"/>
      <c r="BQ143" s="1279"/>
      <c r="BR143" s="1258"/>
      <c r="BS143" s="220"/>
      <c r="BT143" s="1279"/>
      <c r="BU143" s="1258"/>
      <c r="BV143" s="220"/>
      <c r="BW143" s="1279"/>
      <c r="BX143" s="1258"/>
      <c r="BY143" s="218"/>
      <c r="BZ143" s="1275"/>
      <c r="CB143" s="1279"/>
      <c r="CC143" s="1258"/>
      <c r="CD143" s="220"/>
      <c r="CE143" s="1279"/>
      <c r="CF143" s="1258"/>
      <c r="CG143" s="220"/>
      <c r="CH143" s="1279"/>
      <c r="CI143" s="1258"/>
      <c r="CJ143" s="220"/>
      <c r="CK143" s="1279"/>
      <c r="CL143" s="1258"/>
      <c r="CM143" s="218"/>
      <c r="CN143" s="1275"/>
    </row>
    <row r="144" spans="2:94" ht="114" customHeight="1" x14ac:dyDescent="0.25">
      <c r="B144" s="1341"/>
      <c r="C144" s="1234"/>
      <c r="D144" s="1234"/>
      <c r="E144" s="1212"/>
      <c r="F144" s="1201"/>
      <c r="G144" s="328" t="str">
        <f>+'Plan de Accion Proyectos estrat'!K24</f>
        <v>Apoyo técnico para respuestas a PQRSD relacionadas con BDUA</v>
      </c>
      <c r="H144" s="240" t="str">
        <f>+'Plan de Accion Proyectos estrat'!X24</f>
        <v># PQRSD BDUA atendidas en términos de ley en el trimestre  / #PQRSD BDUA recibidas con fecha máxima de respuesta en el trimestre</v>
      </c>
      <c r="I144" s="254"/>
      <c r="J144" s="323">
        <f>+'Plan de Accion Proyectos estrat'!AG24</f>
        <v>0.24805295950155765</v>
      </c>
      <c r="K144" s="503">
        <f>+'Plan de Accion Proyectos estrat'!AI24</f>
        <v>0.99221183800623058</v>
      </c>
      <c r="L144" s="503">
        <f t="shared" si="80"/>
        <v>0.99221183800623058</v>
      </c>
      <c r="M144" s="503">
        <f>+'Plan de Accion Proyectos estrat'!AK24</f>
        <v>0.24805295950155765</v>
      </c>
      <c r="N144" s="503">
        <f t="shared" ref="N144:N234" si="89">IF(M144&gt;100%,100%,M144)</f>
        <v>0.24805295950155765</v>
      </c>
      <c r="O144" s="505">
        <f t="shared" ref="O144:O154" si="90">+N144</f>
        <v>0.24805295950155765</v>
      </c>
      <c r="P144" s="229"/>
      <c r="Q144" s="323">
        <f>+'Plan de Accion Proyectos estrat'!AQ24</f>
        <v>0.24990664675130694</v>
      </c>
      <c r="R144" s="324">
        <f>+'Plan de Accion Proyectos estrat'!AS24</f>
        <v>0.99962658700522777</v>
      </c>
      <c r="S144" s="228">
        <f t="shared" si="81"/>
        <v>0.99962658700522777</v>
      </c>
      <c r="T144" s="324">
        <f>+'Plan de Accion Proyectos estrat'!AU24</f>
        <v>4.9795960625286462</v>
      </c>
      <c r="U144" s="324">
        <f t="shared" si="82"/>
        <v>1</v>
      </c>
      <c r="V144" s="227">
        <f t="shared" si="83"/>
        <v>1</v>
      </c>
      <c r="W144" s="229"/>
      <c r="X144" s="323">
        <f>+'Plan de Accion Proyectos estrat'!BA24</f>
        <v>0</v>
      </c>
      <c r="Y144" s="324">
        <f>+'Plan de Accion Proyectos estrat'!BC24</f>
        <v>0</v>
      </c>
      <c r="Z144" s="228">
        <f t="shared" si="84"/>
        <v>0</v>
      </c>
      <c r="AA144" s="233">
        <f>+'Plan de Accion Proyectos estrat'!BE24</f>
        <v>4.9795960625286462</v>
      </c>
      <c r="AB144" s="233">
        <f t="shared" si="85"/>
        <v>1</v>
      </c>
      <c r="AC144" s="232">
        <f t="shared" si="86"/>
        <v>1</v>
      </c>
      <c r="AD144" s="229"/>
      <c r="AE144" s="323">
        <f>+'Plan de Accion Proyectos estrat'!BK24</f>
        <v>0</v>
      </c>
      <c r="AF144" s="324">
        <f>+'Plan de Accion Proyectos estrat'!BM24</f>
        <v>0</v>
      </c>
      <c r="AG144" s="228">
        <f t="shared" si="87"/>
        <v>0</v>
      </c>
      <c r="AH144" s="324">
        <f>+'Plan de Accion Proyectos estrat'!BO24</f>
        <v>4.9795960625286462</v>
      </c>
      <c r="AI144" s="227">
        <f t="shared" si="88"/>
        <v>1</v>
      </c>
      <c r="AJ144" s="1256"/>
      <c r="AK144" s="253"/>
      <c r="AL144" s="1279"/>
      <c r="AM144" s="1258"/>
      <c r="AN144" s="220"/>
      <c r="AO144" s="1279"/>
      <c r="AP144" s="1258"/>
      <c r="AQ144" s="220"/>
      <c r="AR144" s="1279"/>
      <c r="AS144" s="1258"/>
      <c r="AT144" s="220"/>
      <c r="AU144" s="1279"/>
      <c r="AV144" s="1258"/>
      <c r="AW144" s="218"/>
      <c r="AX144" s="1275"/>
      <c r="AY144" s="252"/>
      <c r="AZ144" s="1279"/>
      <c r="BA144" s="1258"/>
      <c r="BB144" s="220"/>
      <c r="BC144" s="1279"/>
      <c r="BD144" s="1258"/>
      <c r="BE144" s="220"/>
      <c r="BF144" s="1279"/>
      <c r="BG144" s="1258"/>
      <c r="BH144" s="220"/>
      <c r="BI144" s="1279"/>
      <c r="BJ144" s="1258"/>
      <c r="BK144" s="218"/>
      <c r="BL144" s="1275"/>
      <c r="BN144" s="1279"/>
      <c r="BO144" s="1258"/>
      <c r="BP144" s="220"/>
      <c r="BQ144" s="1279"/>
      <c r="BR144" s="1258"/>
      <c r="BS144" s="220"/>
      <c r="BT144" s="1279"/>
      <c r="BU144" s="1258"/>
      <c r="BV144" s="220"/>
      <c r="BW144" s="1279"/>
      <c r="BX144" s="1258"/>
      <c r="BY144" s="218"/>
      <c r="BZ144" s="1275"/>
      <c r="CB144" s="1279"/>
      <c r="CC144" s="1258"/>
      <c r="CD144" s="220"/>
      <c r="CE144" s="1279"/>
      <c r="CF144" s="1258"/>
      <c r="CG144" s="220"/>
      <c r="CH144" s="1279"/>
      <c r="CI144" s="1258"/>
      <c r="CJ144" s="220"/>
      <c r="CK144" s="1279"/>
      <c r="CL144" s="1258"/>
      <c r="CM144" s="218"/>
      <c r="CN144" s="1275"/>
      <c r="CP144" s="235"/>
    </row>
    <row r="145" spans="2:92" ht="71.25" customHeight="1" x14ac:dyDescent="0.25">
      <c r="B145" s="1341"/>
      <c r="C145" s="1230" t="s">
        <v>344</v>
      </c>
      <c r="D145" s="1233" t="s">
        <v>340</v>
      </c>
      <c r="E145" s="1336" t="s">
        <v>12</v>
      </c>
      <c r="F145" s="1201" t="s">
        <v>330</v>
      </c>
      <c r="G145" s="328" t="str">
        <f>+'Plan de Accion Proyectos estrat'!K26</f>
        <v>Proceso de saneamiento de aportes ejecutado</v>
      </c>
      <c r="H145" s="240" t="str">
        <f>+'Plan de Accion Proyectos estrat'!X26</f>
        <v># Procesos de saneamiento de aportes ejecutados / # procesos de saneamiento de aportes programados en el cronograma</v>
      </c>
      <c r="I145" s="254"/>
      <c r="J145" s="323">
        <f>+'Plan de Accion Proyectos estrat'!AG26</f>
        <v>0.25</v>
      </c>
      <c r="K145" s="503">
        <f>+'Plan de Accion Proyectos estrat'!AI26</f>
        <v>1</v>
      </c>
      <c r="L145" s="503">
        <f t="shared" ref="L145:L154" si="91">IF(K145&gt;100%,100%,K145)</f>
        <v>1</v>
      </c>
      <c r="M145" s="503">
        <f>+'Plan de Accion Proyectos estrat'!AK26</f>
        <v>0.25</v>
      </c>
      <c r="N145" s="503">
        <f t="shared" si="89"/>
        <v>0.25</v>
      </c>
      <c r="O145" s="505">
        <f t="shared" si="90"/>
        <v>0.25</v>
      </c>
      <c r="P145" s="229"/>
      <c r="Q145" s="323">
        <f>+'Plan de Accion Proyectos estrat'!AQ26</f>
        <v>0.25</v>
      </c>
      <c r="R145" s="324">
        <f>+'Plan de Accion Proyectos estrat'!AS26</f>
        <v>1</v>
      </c>
      <c r="S145" s="228">
        <f t="shared" ref="S145:S151" si="92">IF(R145&gt;100%,100%,R145)</f>
        <v>1</v>
      </c>
      <c r="T145" s="324">
        <f>+'Plan de Accion Proyectos estrat'!AU26</f>
        <v>0.5</v>
      </c>
      <c r="U145" s="324">
        <f t="shared" ref="U145:U151" si="93">IF(T145&gt;100%,100%,T145)</f>
        <v>0.5</v>
      </c>
      <c r="V145" s="227">
        <f t="shared" si="83"/>
        <v>0.5</v>
      </c>
      <c r="W145" s="229"/>
      <c r="X145" s="323">
        <f>+'Plan de Accion Proyectos estrat'!BA26</f>
        <v>0</v>
      </c>
      <c r="Y145" s="324">
        <f>+'Plan de Accion Proyectos estrat'!BC26</f>
        <v>0</v>
      </c>
      <c r="Z145" s="228">
        <f t="shared" si="84"/>
        <v>0</v>
      </c>
      <c r="AA145" s="233">
        <f>+'Plan de Accion Proyectos estrat'!BE26</f>
        <v>0.5</v>
      </c>
      <c r="AB145" s="233">
        <f t="shared" si="85"/>
        <v>0.5</v>
      </c>
      <c r="AC145" s="232">
        <f t="shared" si="86"/>
        <v>0.5</v>
      </c>
      <c r="AD145" s="229"/>
      <c r="AE145" s="323">
        <f>+'Plan de Accion Proyectos estrat'!BK26</f>
        <v>0</v>
      </c>
      <c r="AF145" s="324">
        <f>+'Plan de Accion Proyectos estrat'!BM26</f>
        <v>0</v>
      </c>
      <c r="AG145" s="228">
        <f t="shared" si="87"/>
        <v>0</v>
      </c>
      <c r="AH145" s="324">
        <f>+'Plan de Accion Proyectos estrat'!BO26</f>
        <v>0.5</v>
      </c>
      <c r="AI145" s="227">
        <f t="shared" si="88"/>
        <v>0.5</v>
      </c>
      <c r="AJ145" s="1256"/>
      <c r="AK145" s="253"/>
      <c r="AL145" s="1279"/>
      <c r="AM145" s="1258"/>
      <c r="AN145" s="220"/>
      <c r="AO145" s="1279"/>
      <c r="AP145" s="1258"/>
      <c r="AQ145" s="220"/>
      <c r="AR145" s="1279"/>
      <c r="AS145" s="1258"/>
      <c r="AT145" s="220"/>
      <c r="AU145" s="1279"/>
      <c r="AV145" s="1258"/>
      <c r="AW145" s="218"/>
      <c r="AX145" s="1275"/>
      <c r="AY145" s="252"/>
      <c r="AZ145" s="1279"/>
      <c r="BA145" s="1258"/>
      <c r="BB145" s="220"/>
      <c r="BC145" s="1279"/>
      <c r="BD145" s="1258"/>
      <c r="BE145" s="220"/>
      <c r="BF145" s="1279"/>
      <c r="BG145" s="1258"/>
      <c r="BH145" s="220"/>
      <c r="BI145" s="1279"/>
      <c r="BJ145" s="1258"/>
      <c r="BK145" s="218"/>
      <c r="BL145" s="1275"/>
      <c r="BN145" s="1279"/>
      <c r="BO145" s="1258"/>
      <c r="BP145" s="220"/>
      <c r="BQ145" s="1279"/>
      <c r="BR145" s="1258"/>
      <c r="BS145" s="220"/>
      <c r="BT145" s="1279"/>
      <c r="BU145" s="1258"/>
      <c r="BV145" s="220"/>
      <c r="BW145" s="1279"/>
      <c r="BX145" s="1258"/>
      <c r="BY145" s="218"/>
      <c r="BZ145" s="1275"/>
      <c r="CB145" s="1279"/>
      <c r="CC145" s="1258"/>
      <c r="CD145" s="220"/>
      <c r="CE145" s="1279"/>
      <c r="CF145" s="1258"/>
      <c r="CG145" s="220"/>
      <c r="CH145" s="1279"/>
      <c r="CI145" s="1258"/>
      <c r="CJ145" s="220"/>
      <c r="CK145" s="1279"/>
      <c r="CL145" s="1258"/>
      <c r="CM145" s="218"/>
      <c r="CN145" s="1275"/>
    </row>
    <row r="146" spans="2:92" ht="71.25" customHeight="1" x14ac:dyDescent="0.25">
      <c r="B146" s="1341"/>
      <c r="C146" s="1231"/>
      <c r="D146" s="1234"/>
      <c r="E146" s="1336"/>
      <c r="F146" s="1201"/>
      <c r="G146" s="328" t="str">
        <f>+'Plan de Accion Proyectos estrat'!K29</f>
        <v>Proceso de Compensación ejecutado</v>
      </c>
      <c r="H146" s="240" t="str">
        <f>+'Plan de Accion Proyectos estrat'!X29</f>
        <v># Procesos de compensación ejecutados / # procesos de compensación programados en el cronograma</v>
      </c>
      <c r="I146" s="254"/>
      <c r="J146" s="323">
        <f>+'Plan de Accion Proyectos estrat'!AG29</f>
        <v>0.25</v>
      </c>
      <c r="K146" s="503">
        <f>+'Plan de Accion Proyectos estrat'!AI29</f>
        <v>1</v>
      </c>
      <c r="L146" s="503">
        <f t="shared" si="91"/>
        <v>1</v>
      </c>
      <c r="M146" s="503">
        <f>+'Plan de Accion Proyectos estrat'!AK29</f>
        <v>0.25</v>
      </c>
      <c r="N146" s="503">
        <f t="shared" si="89"/>
        <v>0.25</v>
      </c>
      <c r="O146" s="505">
        <f t="shared" si="90"/>
        <v>0.25</v>
      </c>
      <c r="P146" s="229"/>
      <c r="Q146" s="323">
        <f>+'Plan de Accion Proyectos estrat'!AQ29</f>
        <v>0.25</v>
      </c>
      <c r="R146" s="324">
        <f>+'Plan de Accion Proyectos estrat'!AS29</f>
        <v>1</v>
      </c>
      <c r="S146" s="228">
        <f t="shared" si="92"/>
        <v>1</v>
      </c>
      <c r="T146" s="324">
        <f>+'Plan de Accion Proyectos estrat'!AU29</f>
        <v>0.5</v>
      </c>
      <c r="U146" s="324">
        <f t="shared" si="93"/>
        <v>0.5</v>
      </c>
      <c r="V146" s="227">
        <f t="shared" si="83"/>
        <v>0.5</v>
      </c>
      <c r="W146" s="229"/>
      <c r="X146" s="323">
        <f>+'Plan de Accion Proyectos estrat'!BA29</f>
        <v>0</v>
      </c>
      <c r="Y146" s="324">
        <f>+'Plan de Accion Proyectos estrat'!BC29</f>
        <v>0</v>
      </c>
      <c r="Z146" s="228">
        <f t="shared" si="84"/>
        <v>0</v>
      </c>
      <c r="AA146" s="233">
        <f>+'Plan de Accion Proyectos estrat'!BE29</f>
        <v>0.5</v>
      </c>
      <c r="AB146" s="233">
        <f t="shared" si="85"/>
        <v>0.5</v>
      </c>
      <c r="AC146" s="232">
        <f t="shared" si="86"/>
        <v>0.5</v>
      </c>
      <c r="AD146" s="229"/>
      <c r="AE146" s="323">
        <f>+'Plan de Accion Proyectos estrat'!BK29</f>
        <v>0</v>
      </c>
      <c r="AF146" s="324">
        <f>+'Plan de Accion Proyectos estrat'!BM29</f>
        <v>0</v>
      </c>
      <c r="AG146" s="228">
        <f t="shared" si="87"/>
        <v>0</v>
      </c>
      <c r="AH146" s="324">
        <f>+'Plan de Accion Proyectos estrat'!BO29</f>
        <v>0.5</v>
      </c>
      <c r="AI146" s="227">
        <f t="shared" si="88"/>
        <v>0.5</v>
      </c>
      <c r="AJ146" s="1256"/>
      <c r="AK146" s="253"/>
      <c r="AL146" s="1279"/>
      <c r="AM146" s="1258"/>
      <c r="AN146" s="220"/>
      <c r="AO146" s="1279"/>
      <c r="AP146" s="1258"/>
      <c r="AQ146" s="220"/>
      <c r="AR146" s="1279"/>
      <c r="AS146" s="1258"/>
      <c r="AT146" s="220"/>
      <c r="AU146" s="1279"/>
      <c r="AV146" s="1258"/>
      <c r="AW146" s="218"/>
      <c r="AX146" s="1275"/>
      <c r="AY146" s="252"/>
      <c r="AZ146" s="1279"/>
      <c r="BA146" s="1258"/>
      <c r="BB146" s="220"/>
      <c r="BC146" s="1279"/>
      <c r="BD146" s="1258"/>
      <c r="BE146" s="220"/>
      <c r="BF146" s="1279"/>
      <c r="BG146" s="1258"/>
      <c r="BH146" s="220"/>
      <c r="BI146" s="1279"/>
      <c r="BJ146" s="1258"/>
      <c r="BK146" s="218"/>
      <c r="BL146" s="1275"/>
      <c r="BN146" s="1279"/>
      <c r="BO146" s="1258"/>
      <c r="BP146" s="220"/>
      <c r="BQ146" s="1279"/>
      <c r="BR146" s="1258"/>
      <c r="BS146" s="220"/>
      <c r="BT146" s="1279"/>
      <c r="BU146" s="1258"/>
      <c r="BV146" s="220"/>
      <c r="BW146" s="1279"/>
      <c r="BX146" s="1258"/>
      <c r="BY146" s="218"/>
      <c r="BZ146" s="1275"/>
      <c r="CB146" s="1279"/>
      <c r="CC146" s="1258"/>
      <c r="CD146" s="220"/>
      <c r="CE146" s="1279"/>
      <c r="CF146" s="1258"/>
      <c r="CG146" s="220"/>
      <c r="CH146" s="1279"/>
      <c r="CI146" s="1258"/>
      <c r="CJ146" s="220"/>
      <c r="CK146" s="1279"/>
      <c r="CL146" s="1258"/>
      <c r="CM146" s="218"/>
      <c r="CN146" s="1275"/>
    </row>
    <row r="147" spans="2:92" ht="42.75" customHeight="1" x14ac:dyDescent="0.25">
      <c r="B147" s="1341"/>
      <c r="C147" s="1231"/>
      <c r="D147" s="1234"/>
      <c r="E147" s="1336"/>
      <c r="F147" s="1201"/>
      <c r="G147" s="328" t="str">
        <f>+'Plan de Accion Proyectos estrat'!K30</f>
        <v>Prestaciones económicas REX</v>
      </c>
      <c r="H147" s="240" t="str">
        <f>+'Plan de Accion Proyectos estrat'!X30</f>
        <v># Solicitudes de prestaciones económicas tramitadas / # solicitudes de prestaciones económicas radicadas</v>
      </c>
      <c r="I147" s="254"/>
      <c r="J147" s="323">
        <f>+'Plan de Accion Proyectos estrat'!AG30</f>
        <v>0.24896265560165975</v>
      </c>
      <c r="K147" s="503">
        <f>+'Plan de Accion Proyectos estrat'!AI30</f>
        <v>0.99585062240663902</v>
      </c>
      <c r="L147" s="503">
        <f t="shared" si="91"/>
        <v>0.99585062240663902</v>
      </c>
      <c r="M147" s="503">
        <f>+'Plan de Accion Proyectos estrat'!AK30</f>
        <v>0.24896265560165975</v>
      </c>
      <c r="N147" s="503">
        <f t="shared" si="89"/>
        <v>0.24896265560165975</v>
      </c>
      <c r="O147" s="505">
        <f t="shared" si="90"/>
        <v>0.24896265560165975</v>
      </c>
      <c r="P147" s="229"/>
      <c r="Q147" s="323">
        <f>+'Plan de Accion Proyectos estrat'!AQ30</f>
        <v>0.24793632075471697</v>
      </c>
      <c r="R147" s="324">
        <f>+'Plan de Accion Proyectos estrat'!AS30</f>
        <v>0.99174528301886788</v>
      </c>
      <c r="S147" s="228">
        <f t="shared" si="92"/>
        <v>0.99174528301886788</v>
      </c>
      <c r="T147" s="324">
        <f>+'Plan de Accion Proyectos estrat'!AU30</f>
        <v>0.4968989763563767</v>
      </c>
      <c r="U147" s="324">
        <f t="shared" si="93"/>
        <v>0.4968989763563767</v>
      </c>
      <c r="V147" s="227">
        <f t="shared" si="83"/>
        <v>0.4968989763563767</v>
      </c>
      <c r="W147" s="229"/>
      <c r="X147" s="323">
        <f>+'Plan de Accion Proyectos estrat'!BA30</f>
        <v>0</v>
      </c>
      <c r="Y147" s="324">
        <f>+'Plan de Accion Proyectos estrat'!BC30</f>
        <v>0</v>
      </c>
      <c r="Z147" s="228">
        <f t="shared" si="84"/>
        <v>0</v>
      </c>
      <c r="AA147" s="233">
        <f>+'Plan de Accion Proyectos estrat'!BE30</f>
        <v>0.4968989763563767</v>
      </c>
      <c r="AB147" s="233">
        <f t="shared" si="85"/>
        <v>0.4968989763563767</v>
      </c>
      <c r="AC147" s="232">
        <f t="shared" si="86"/>
        <v>0.4968989763563767</v>
      </c>
      <c r="AD147" s="229"/>
      <c r="AE147" s="323">
        <f>+'Plan de Accion Proyectos estrat'!BK30</f>
        <v>0</v>
      </c>
      <c r="AF147" s="324">
        <f>+'Plan de Accion Proyectos estrat'!BM30</f>
        <v>0</v>
      </c>
      <c r="AG147" s="228">
        <f t="shared" si="87"/>
        <v>0</v>
      </c>
      <c r="AH147" s="324">
        <f>+'Plan de Accion Proyectos estrat'!BO30</f>
        <v>0.4968989763563767</v>
      </c>
      <c r="AI147" s="227">
        <f t="shared" si="88"/>
        <v>0.4968989763563767</v>
      </c>
      <c r="AJ147" s="1256"/>
      <c r="AK147" s="253"/>
      <c r="AL147" s="1279"/>
      <c r="AM147" s="1258"/>
      <c r="AN147" s="220"/>
      <c r="AO147" s="1279"/>
      <c r="AP147" s="1258"/>
      <c r="AQ147" s="220"/>
      <c r="AR147" s="1279"/>
      <c r="AS147" s="1258"/>
      <c r="AT147" s="220"/>
      <c r="AU147" s="1279"/>
      <c r="AV147" s="1258"/>
      <c r="AW147" s="218"/>
      <c r="AX147" s="1275"/>
      <c r="AY147" s="252"/>
      <c r="AZ147" s="1279"/>
      <c r="BA147" s="1258"/>
      <c r="BB147" s="220"/>
      <c r="BC147" s="1279"/>
      <c r="BD147" s="1258"/>
      <c r="BE147" s="220"/>
      <c r="BF147" s="1279"/>
      <c r="BG147" s="1258"/>
      <c r="BH147" s="220"/>
      <c r="BI147" s="1279"/>
      <c r="BJ147" s="1258"/>
      <c r="BK147" s="218"/>
      <c r="BL147" s="1275"/>
      <c r="BN147" s="1279"/>
      <c r="BO147" s="1258"/>
      <c r="BP147" s="220"/>
      <c r="BQ147" s="1279"/>
      <c r="BR147" s="1258"/>
      <c r="BS147" s="220"/>
      <c r="BT147" s="1279"/>
      <c r="BU147" s="1258"/>
      <c r="BV147" s="220"/>
      <c r="BW147" s="1279"/>
      <c r="BX147" s="1258"/>
      <c r="BY147" s="218"/>
      <c r="BZ147" s="1275"/>
      <c r="CB147" s="1279"/>
      <c r="CC147" s="1258"/>
      <c r="CD147" s="220"/>
      <c r="CE147" s="1279"/>
      <c r="CF147" s="1258"/>
      <c r="CG147" s="220"/>
      <c r="CH147" s="1279"/>
      <c r="CI147" s="1258"/>
      <c r="CJ147" s="220"/>
      <c r="CK147" s="1279"/>
      <c r="CL147" s="1258"/>
      <c r="CM147" s="218"/>
      <c r="CN147" s="1275"/>
    </row>
    <row r="148" spans="2:92" ht="57" x14ac:dyDescent="0.25">
      <c r="B148" s="1341"/>
      <c r="C148" s="1231"/>
      <c r="D148" s="1234"/>
      <c r="E148" s="1336"/>
      <c r="F148" s="1201"/>
      <c r="G148" s="328" t="str">
        <f>+'Plan de Accion Proyectos estrat'!K31</f>
        <v>Devoluciones económicas REX</v>
      </c>
      <c r="H148" s="240" t="str">
        <f>+'Plan de Accion Proyectos estrat'!X31</f>
        <v># Solicitudes de devolución de aportes tramitadas / # Solicitudes de devolución de aportes radicadas</v>
      </c>
      <c r="I148" s="254"/>
      <c r="J148" s="323">
        <f>+'Plan de Accion Proyectos estrat'!AG31</f>
        <v>0.24726775956284153</v>
      </c>
      <c r="K148" s="503">
        <f>+'Plan de Accion Proyectos estrat'!AI31</f>
        <v>0.98907103825136611</v>
      </c>
      <c r="L148" s="503">
        <f t="shared" si="91"/>
        <v>0.98907103825136611</v>
      </c>
      <c r="M148" s="503">
        <f>+'Plan de Accion Proyectos estrat'!AK31</f>
        <v>0.24726775956284153</v>
      </c>
      <c r="N148" s="503">
        <f t="shared" si="89"/>
        <v>0.24726775956284153</v>
      </c>
      <c r="O148" s="505">
        <f t="shared" si="90"/>
        <v>0.24726775956284153</v>
      </c>
      <c r="P148" s="229"/>
      <c r="Q148" s="323">
        <f>+'Plan de Accion Proyectos estrat'!AQ31</f>
        <v>0.25</v>
      </c>
      <c r="R148" s="324">
        <f>+'Plan de Accion Proyectos estrat'!AS31</f>
        <v>1</v>
      </c>
      <c r="S148" s="228">
        <f t="shared" si="92"/>
        <v>1</v>
      </c>
      <c r="T148" s="324">
        <f>+'Plan de Accion Proyectos estrat'!AU31</f>
        <v>0.49726775956284153</v>
      </c>
      <c r="U148" s="324">
        <f t="shared" si="93"/>
        <v>0.49726775956284153</v>
      </c>
      <c r="V148" s="227">
        <f t="shared" si="83"/>
        <v>0.49726775956284153</v>
      </c>
      <c r="W148" s="229"/>
      <c r="X148" s="323">
        <f>+'Plan de Accion Proyectos estrat'!BA31</f>
        <v>0</v>
      </c>
      <c r="Y148" s="324">
        <f>+'Plan de Accion Proyectos estrat'!BC31</f>
        <v>0</v>
      </c>
      <c r="Z148" s="228">
        <f t="shared" si="84"/>
        <v>0</v>
      </c>
      <c r="AA148" s="233">
        <f>+'Plan de Accion Proyectos estrat'!BE31</f>
        <v>0.49726775956284153</v>
      </c>
      <c r="AB148" s="233">
        <f t="shared" si="85"/>
        <v>0.49726775956284153</v>
      </c>
      <c r="AC148" s="232">
        <f t="shared" si="86"/>
        <v>0.49726775956284153</v>
      </c>
      <c r="AD148" s="229"/>
      <c r="AE148" s="323">
        <f>+'Plan de Accion Proyectos estrat'!BK31</f>
        <v>0</v>
      </c>
      <c r="AF148" s="324">
        <f>+'Plan de Accion Proyectos estrat'!BM31</f>
        <v>0</v>
      </c>
      <c r="AG148" s="228">
        <f t="shared" si="87"/>
        <v>0</v>
      </c>
      <c r="AH148" s="324">
        <f>+'Plan de Accion Proyectos estrat'!BO31</f>
        <v>0.49726775956284153</v>
      </c>
      <c r="AI148" s="227">
        <f t="shared" si="88"/>
        <v>0.49726775956284153</v>
      </c>
      <c r="AJ148" s="1256"/>
      <c r="AK148" s="253"/>
      <c r="AL148" s="1279"/>
      <c r="AM148" s="1258"/>
      <c r="AN148" s="220"/>
      <c r="AO148" s="1279"/>
      <c r="AP148" s="1258"/>
      <c r="AQ148" s="220"/>
      <c r="AR148" s="1279"/>
      <c r="AS148" s="1258"/>
      <c r="AT148" s="220"/>
      <c r="AU148" s="1279"/>
      <c r="AV148" s="1258"/>
      <c r="AW148" s="218"/>
      <c r="AX148" s="1275"/>
      <c r="AY148" s="252"/>
      <c r="AZ148" s="1279"/>
      <c r="BA148" s="1258"/>
      <c r="BB148" s="220"/>
      <c r="BC148" s="1279"/>
      <c r="BD148" s="1258"/>
      <c r="BE148" s="220"/>
      <c r="BF148" s="1279"/>
      <c r="BG148" s="1258"/>
      <c r="BH148" s="220"/>
      <c r="BI148" s="1279"/>
      <c r="BJ148" s="1258"/>
      <c r="BK148" s="218"/>
      <c r="BL148" s="1275"/>
      <c r="BN148" s="1279"/>
      <c r="BO148" s="1258"/>
      <c r="BP148" s="220"/>
      <c r="BQ148" s="1279"/>
      <c r="BR148" s="1258"/>
      <c r="BS148" s="220"/>
      <c r="BT148" s="1279"/>
      <c r="BU148" s="1258"/>
      <c r="BV148" s="220"/>
      <c r="BW148" s="1279"/>
      <c r="BX148" s="1258"/>
      <c r="BY148" s="218"/>
      <c r="BZ148" s="1275"/>
      <c r="CB148" s="1279"/>
      <c r="CC148" s="1258"/>
      <c r="CD148" s="220"/>
      <c r="CE148" s="1279"/>
      <c r="CF148" s="1258"/>
      <c r="CG148" s="220"/>
      <c r="CH148" s="1279"/>
      <c r="CI148" s="1258"/>
      <c r="CJ148" s="220"/>
      <c r="CK148" s="1279"/>
      <c r="CL148" s="1258"/>
      <c r="CM148" s="218"/>
      <c r="CN148" s="1275"/>
    </row>
    <row r="149" spans="2:92" ht="57" x14ac:dyDescent="0.25">
      <c r="B149" s="1341"/>
      <c r="C149" s="1231"/>
      <c r="D149" s="1234"/>
      <c r="E149" s="1336"/>
      <c r="F149" s="1201"/>
      <c r="G149" s="328" t="str">
        <f>+'Plan de Accion Proyectos estrat'!K32</f>
        <v>Liquidación y reconocimiento de la UPC de los Afiliados del Régimen Subsidiado</v>
      </c>
      <c r="H149" s="240" t="str">
        <f>+'Plan de Accion Proyectos estrat'!X32</f>
        <v xml:space="preserve"># Procesos de LMA ejecutados </v>
      </c>
      <c r="I149" s="254"/>
      <c r="J149" s="234">
        <f>+'Plan de Accion Proyectos estrat'!AG32</f>
        <v>3</v>
      </c>
      <c r="K149" s="503">
        <f>+'Plan de Accion Proyectos estrat'!AI32</f>
        <v>1</v>
      </c>
      <c r="L149" s="503">
        <f t="shared" si="91"/>
        <v>1</v>
      </c>
      <c r="M149" s="503">
        <f>+'Plan de Accion Proyectos estrat'!AK32</f>
        <v>0.25</v>
      </c>
      <c r="N149" s="503">
        <f t="shared" si="89"/>
        <v>0.25</v>
      </c>
      <c r="O149" s="505">
        <f t="shared" si="90"/>
        <v>0.25</v>
      </c>
      <c r="P149" s="229"/>
      <c r="Q149" s="234">
        <f>+'Plan de Accion Proyectos estrat'!AQ32</f>
        <v>3</v>
      </c>
      <c r="R149" s="324">
        <f>+'Plan de Accion Proyectos estrat'!AS32</f>
        <v>1</v>
      </c>
      <c r="S149" s="228">
        <f t="shared" si="92"/>
        <v>1</v>
      </c>
      <c r="T149" s="324">
        <f>+'Plan de Accion Proyectos estrat'!AU32</f>
        <v>0.5</v>
      </c>
      <c r="U149" s="324">
        <f t="shared" si="93"/>
        <v>0.5</v>
      </c>
      <c r="V149" s="227">
        <f t="shared" si="83"/>
        <v>0.5</v>
      </c>
      <c r="W149" s="229"/>
      <c r="X149" s="234">
        <f>+'Plan de Accion Proyectos estrat'!BA32</f>
        <v>0</v>
      </c>
      <c r="Y149" s="324">
        <f>+'Plan de Accion Proyectos estrat'!BC32</f>
        <v>0</v>
      </c>
      <c r="Z149" s="228">
        <f t="shared" si="84"/>
        <v>0</v>
      </c>
      <c r="AA149" s="233">
        <f>+'Plan de Accion Proyectos estrat'!BE32</f>
        <v>0.5</v>
      </c>
      <c r="AB149" s="233">
        <f t="shared" si="85"/>
        <v>0.5</v>
      </c>
      <c r="AC149" s="232">
        <f t="shared" si="86"/>
        <v>0.5</v>
      </c>
      <c r="AD149" s="229"/>
      <c r="AE149" s="235">
        <f>+'Plan de Accion Proyectos estrat'!BK32</f>
        <v>0</v>
      </c>
      <c r="AF149" s="324">
        <f>+'Plan de Accion Proyectos estrat'!BM32</f>
        <v>0</v>
      </c>
      <c r="AG149" s="228">
        <f t="shared" si="87"/>
        <v>0</v>
      </c>
      <c r="AH149" s="324">
        <f>+'Plan de Accion Proyectos estrat'!BO32</f>
        <v>0.5</v>
      </c>
      <c r="AI149" s="227">
        <f t="shared" si="88"/>
        <v>0.5</v>
      </c>
      <c r="AJ149" s="1256"/>
      <c r="AK149" s="253"/>
      <c r="AL149" s="1279"/>
      <c r="AM149" s="1258"/>
      <c r="AN149" s="220"/>
      <c r="AO149" s="1279"/>
      <c r="AP149" s="1258"/>
      <c r="AQ149" s="220"/>
      <c r="AR149" s="1279"/>
      <c r="AS149" s="1258"/>
      <c r="AT149" s="220"/>
      <c r="AU149" s="1279"/>
      <c r="AV149" s="1258"/>
      <c r="AW149" s="218"/>
      <c r="AX149" s="1275"/>
      <c r="AY149" s="252"/>
      <c r="AZ149" s="1279"/>
      <c r="BA149" s="1258"/>
      <c r="BB149" s="220"/>
      <c r="BC149" s="1279"/>
      <c r="BD149" s="1258"/>
      <c r="BE149" s="220"/>
      <c r="BF149" s="1279"/>
      <c r="BG149" s="1258"/>
      <c r="BH149" s="220"/>
      <c r="BI149" s="1279"/>
      <c r="BJ149" s="1258"/>
      <c r="BK149" s="218"/>
      <c r="BL149" s="1275"/>
      <c r="BN149" s="1279"/>
      <c r="BO149" s="1258"/>
      <c r="BP149" s="220"/>
      <c r="BQ149" s="1279"/>
      <c r="BR149" s="1258"/>
      <c r="BS149" s="220"/>
      <c r="BT149" s="1279"/>
      <c r="BU149" s="1258"/>
      <c r="BV149" s="220"/>
      <c r="BW149" s="1279"/>
      <c r="BX149" s="1258"/>
      <c r="BY149" s="218"/>
      <c r="BZ149" s="1275"/>
      <c r="CB149" s="1279"/>
      <c r="CC149" s="1258"/>
      <c r="CD149" s="220"/>
      <c r="CE149" s="1279"/>
      <c r="CF149" s="1258"/>
      <c r="CG149" s="220"/>
      <c r="CH149" s="1279"/>
      <c r="CI149" s="1258"/>
      <c r="CJ149" s="220"/>
      <c r="CK149" s="1279"/>
      <c r="CL149" s="1258"/>
      <c r="CM149" s="218"/>
      <c r="CN149" s="1275"/>
    </row>
    <row r="150" spans="2:92" ht="57" customHeight="1" x14ac:dyDescent="0.25">
      <c r="B150" s="1341"/>
      <c r="C150" s="1232"/>
      <c r="D150" s="1235"/>
      <c r="E150" s="1336"/>
      <c r="F150" s="1201"/>
      <c r="G150" s="328" t="str">
        <f>+'Plan de Accion Proyectos estrat'!K33</f>
        <v xml:space="preserve">Liquidación y reconocimiento de licencias de maternidad y paternidad </v>
      </c>
      <c r="H150" s="240" t="str">
        <f>+'Plan de Accion Proyectos estrat'!X33</f>
        <v xml:space="preserve"># Procesos de liquidación y reconocimiento de licencias de maternidad y paternidad ejecutados </v>
      </c>
      <c r="I150" s="254"/>
      <c r="J150" s="234">
        <f>+'Plan de Accion Proyectos estrat'!AG33</f>
        <v>3</v>
      </c>
      <c r="K150" s="503">
        <f>+'Plan de Accion Proyectos estrat'!AI33</f>
        <v>1</v>
      </c>
      <c r="L150" s="503">
        <f t="shared" si="91"/>
        <v>1</v>
      </c>
      <c r="M150" s="503">
        <f>+'Plan de Accion Proyectos estrat'!AK33</f>
        <v>0.25</v>
      </c>
      <c r="N150" s="503">
        <f t="shared" si="89"/>
        <v>0.25</v>
      </c>
      <c r="O150" s="505">
        <f t="shared" si="90"/>
        <v>0.25</v>
      </c>
      <c r="P150" s="229"/>
      <c r="Q150" s="234">
        <f>+'Plan de Accion Proyectos estrat'!AQ33</f>
        <v>3</v>
      </c>
      <c r="R150" s="324">
        <f>+'Plan de Accion Proyectos estrat'!AS33</f>
        <v>1</v>
      </c>
      <c r="S150" s="228">
        <f t="shared" si="92"/>
        <v>1</v>
      </c>
      <c r="T150" s="324">
        <f>+'Plan de Accion Proyectos estrat'!AU33</f>
        <v>0.5</v>
      </c>
      <c r="U150" s="324">
        <f t="shared" si="93"/>
        <v>0.5</v>
      </c>
      <c r="V150" s="227">
        <f t="shared" si="83"/>
        <v>0.5</v>
      </c>
      <c r="W150" s="229"/>
      <c r="X150" s="234">
        <f>+'Plan de Accion Proyectos estrat'!BA33</f>
        <v>0</v>
      </c>
      <c r="Y150" s="324">
        <f>+'Plan de Accion Proyectos estrat'!BC33</f>
        <v>0</v>
      </c>
      <c r="Z150" s="228">
        <f t="shared" si="84"/>
        <v>0</v>
      </c>
      <c r="AA150" s="233">
        <f>+'Plan de Accion Proyectos estrat'!BE33</f>
        <v>0.5</v>
      </c>
      <c r="AB150" s="233">
        <f t="shared" si="85"/>
        <v>0.5</v>
      </c>
      <c r="AC150" s="232">
        <f t="shared" si="86"/>
        <v>0.5</v>
      </c>
      <c r="AD150" s="229"/>
      <c r="AE150" s="235">
        <f>+'Plan de Accion Proyectos estrat'!BK33</f>
        <v>0</v>
      </c>
      <c r="AF150" s="324">
        <f>+'Plan de Accion Proyectos estrat'!BM33</f>
        <v>0</v>
      </c>
      <c r="AG150" s="228">
        <f t="shared" si="87"/>
        <v>0</v>
      </c>
      <c r="AH150" s="324">
        <f>+'Plan de Accion Proyectos estrat'!BO33</f>
        <v>0.5</v>
      </c>
      <c r="AI150" s="227">
        <f t="shared" si="88"/>
        <v>0.5</v>
      </c>
      <c r="AJ150" s="1256"/>
      <c r="AK150" s="253"/>
      <c r="AL150" s="1279"/>
      <c r="AM150" s="1258"/>
      <c r="AN150" s="220"/>
      <c r="AO150" s="1279"/>
      <c r="AP150" s="1258"/>
      <c r="AQ150" s="220"/>
      <c r="AR150" s="1279"/>
      <c r="AS150" s="1258"/>
      <c r="AT150" s="220"/>
      <c r="AU150" s="1279"/>
      <c r="AV150" s="1258"/>
      <c r="AW150" s="218"/>
      <c r="AX150" s="1275"/>
      <c r="AY150" s="252"/>
      <c r="AZ150" s="1279"/>
      <c r="BA150" s="1258"/>
      <c r="BB150" s="220"/>
      <c r="BC150" s="1279"/>
      <c r="BD150" s="1258"/>
      <c r="BE150" s="220"/>
      <c r="BF150" s="1279"/>
      <c r="BG150" s="1258"/>
      <c r="BH150" s="220"/>
      <c r="BI150" s="1279"/>
      <c r="BJ150" s="1258"/>
      <c r="BK150" s="218"/>
      <c r="BL150" s="1275"/>
      <c r="BN150" s="1279"/>
      <c r="BO150" s="1258"/>
      <c r="BP150" s="220"/>
      <c r="BQ150" s="1279"/>
      <c r="BR150" s="1258"/>
      <c r="BS150" s="220"/>
      <c r="BT150" s="1279"/>
      <c r="BU150" s="1258"/>
      <c r="BV150" s="220"/>
      <c r="BW150" s="1279"/>
      <c r="BX150" s="1258"/>
      <c r="BY150" s="218"/>
      <c r="BZ150" s="1275"/>
      <c r="CB150" s="1279"/>
      <c r="CC150" s="1258"/>
      <c r="CD150" s="220"/>
      <c r="CE150" s="1279"/>
      <c r="CF150" s="1258"/>
      <c r="CG150" s="220"/>
      <c r="CH150" s="1279"/>
      <c r="CI150" s="1258"/>
      <c r="CJ150" s="220"/>
      <c r="CK150" s="1279"/>
      <c r="CL150" s="1258"/>
      <c r="CM150" s="218"/>
      <c r="CN150" s="1275"/>
    </row>
    <row r="151" spans="2:92" ht="105" customHeight="1" x14ac:dyDescent="0.25">
      <c r="B151" s="1341"/>
      <c r="C151" s="356" t="s">
        <v>403</v>
      </c>
      <c r="D151" s="327" t="s">
        <v>1183</v>
      </c>
      <c r="E151" s="328" t="s">
        <v>12</v>
      </c>
      <c r="F151" s="321" t="s">
        <v>330</v>
      </c>
      <c r="G151" s="328" t="str">
        <f>+'Plan de Accion Proyectos estrat'!K35</f>
        <v>Informe de análisis sobre procesos o tecnologías reconocidas por la ADRES</v>
      </c>
      <c r="H151" s="240" t="str">
        <f>+'Plan de Accion Proyectos estrat'!X35</f>
        <v>#  Informes de análisis sobre procesos o tecnologías reconocidas por la ADRES</v>
      </c>
      <c r="I151" s="254"/>
      <c r="J151" s="234">
        <f>+'Plan de Accion Proyectos estrat'!AG35</f>
        <v>2</v>
      </c>
      <c r="K151" s="503">
        <f>+'Plan de Accion Proyectos estrat'!BR35</f>
        <v>1</v>
      </c>
      <c r="L151" s="503">
        <f t="shared" si="91"/>
        <v>1</v>
      </c>
      <c r="M151" s="503">
        <f>+'Plan de Accion Proyectos estrat'!AK35</f>
        <v>0.25</v>
      </c>
      <c r="N151" s="503">
        <f t="shared" si="89"/>
        <v>0.25</v>
      </c>
      <c r="O151" s="505">
        <f t="shared" si="90"/>
        <v>0.25</v>
      </c>
      <c r="P151" s="229"/>
      <c r="Q151" s="234">
        <f>+'Plan de Accion Proyectos estrat'!AQ35</f>
        <v>2</v>
      </c>
      <c r="R151" s="324">
        <f>+'Plan de Accion Proyectos estrat'!AS35</f>
        <v>1</v>
      </c>
      <c r="S151" s="228">
        <f t="shared" si="92"/>
        <v>1</v>
      </c>
      <c r="T151" s="324">
        <f>+'Plan de Accion Proyectos estrat'!AU35</f>
        <v>0.5</v>
      </c>
      <c r="U151" s="324">
        <f t="shared" si="93"/>
        <v>0.5</v>
      </c>
      <c r="V151" s="227">
        <f t="shared" si="83"/>
        <v>0.5</v>
      </c>
      <c r="W151" s="229"/>
      <c r="X151" s="234">
        <f>+'Plan de Accion Proyectos estrat'!BA35</f>
        <v>0</v>
      </c>
      <c r="Y151" s="324">
        <f>+'Plan de Accion Proyectos estrat'!BC35</f>
        <v>0</v>
      </c>
      <c r="Z151" s="228">
        <f t="shared" si="84"/>
        <v>0</v>
      </c>
      <c r="AA151" s="233">
        <f>+'Plan de Accion Proyectos estrat'!BE35</f>
        <v>0.5</v>
      </c>
      <c r="AB151" s="233">
        <f t="shared" si="85"/>
        <v>0.5</v>
      </c>
      <c r="AC151" s="232">
        <f t="shared" si="86"/>
        <v>0.5</v>
      </c>
      <c r="AD151" s="229"/>
      <c r="AE151" s="235">
        <f>+'Plan de Accion Proyectos estrat'!BK35</f>
        <v>0</v>
      </c>
      <c r="AF151" s="324">
        <f>+'Plan de Accion Proyectos estrat'!BM35</f>
        <v>0</v>
      </c>
      <c r="AG151" s="228">
        <f t="shared" si="87"/>
        <v>0</v>
      </c>
      <c r="AH151" s="324">
        <f>+'Plan de Accion Proyectos estrat'!BO35</f>
        <v>0.5</v>
      </c>
      <c r="AI151" s="227">
        <f t="shared" si="88"/>
        <v>0.5</v>
      </c>
      <c r="AJ151" s="1256"/>
      <c r="AK151" s="253"/>
      <c r="AL151" s="1279"/>
      <c r="AM151" s="1258"/>
      <c r="AN151" s="220"/>
      <c r="AO151" s="1279"/>
      <c r="AP151" s="1258"/>
      <c r="AQ151" s="220"/>
      <c r="AR151" s="1279"/>
      <c r="AS151" s="1258"/>
      <c r="AT151" s="220"/>
      <c r="AU151" s="1279"/>
      <c r="AV151" s="1258"/>
      <c r="AW151" s="218"/>
      <c r="AX151" s="1275"/>
      <c r="AY151" s="252"/>
      <c r="AZ151" s="1279"/>
      <c r="BA151" s="1258"/>
      <c r="BB151" s="220"/>
      <c r="BC151" s="1279"/>
      <c r="BD151" s="1258"/>
      <c r="BE151" s="220"/>
      <c r="BF151" s="1279"/>
      <c r="BG151" s="1258"/>
      <c r="BH151" s="220"/>
      <c r="BI151" s="1279"/>
      <c r="BJ151" s="1258"/>
      <c r="BK151" s="218"/>
      <c r="BL151" s="1275"/>
      <c r="BN151" s="1279"/>
      <c r="BO151" s="1258"/>
      <c r="BP151" s="220"/>
      <c r="BQ151" s="1279"/>
      <c r="BR151" s="1258"/>
      <c r="BS151" s="220"/>
      <c r="BT151" s="1279"/>
      <c r="BU151" s="1258"/>
      <c r="BV151" s="220"/>
      <c r="BW151" s="1279"/>
      <c r="BX151" s="1258"/>
      <c r="BY151" s="218"/>
      <c r="BZ151" s="1275"/>
      <c r="CB151" s="1279"/>
      <c r="CC151" s="1258"/>
      <c r="CD151" s="220"/>
      <c r="CE151" s="1279"/>
      <c r="CF151" s="1258"/>
      <c r="CG151" s="220"/>
      <c r="CH151" s="1279"/>
      <c r="CI151" s="1258"/>
      <c r="CJ151" s="220"/>
      <c r="CK151" s="1279"/>
      <c r="CL151" s="1258"/>
      <c r="CM151" s="218"/>
      <c r="CN151" s="1275"/>
    </row>
    <row r="152" spans="2:92" ht="94.5" customHeight="1" x14ac:dyDescent="0.2">
      <c r="B152" s="1341"/>
      <c r="C152" s="1230" t="s">
        <v>60</v>
      </c>
      <c r="D152" s="1214" t="s">
        <v>204</v>
      </c>
      <c r="E152" s="1211" t="s">
        <v>125</v>
      </c>
      <c r="F152" s="1202" t="s">
        <v>330</v>
      </c>
      <c r="G152" s="335" t="str">
        <f>+'Plan de Accion Misional'!K9</f>
        <v>Cobro efectivo de las acreencias por todo concepto a favor de la Administradora de los Recursos del Sistema General de Seguridad Social en Salud – ADRES.</v>
      </c>
      <c r="H152" s="231" t="str">
        <f>+'Plan de Accion Misional'!X9</f>
        <v xml:space="preserve"># Resoluciones que ordenan el cobro </v>
      </c>
      <c r="J152" s="234">
        <f>+'Plan de Accion Misional'!AG9</f>
        <v>2287</v>
      </c>
      <c r="K152" s="503">
        <f>+'Plan de Accion Misional'!BR9</f>
        <v>2.8587500000000001</v>
      </c>
      <c r="L152" s="503">
        <f t="shared" si="91"/>
        <v>1</v>
      </c>
      <c r="M152" s="503">
        <f>+'Plan de Accion Misional'!AK9</f>
        <v>0.51977272727272728</v>
      </c>
      <c r="N152" s="503">
        <f>IF(M152&gt;100%,100%,M152)</f>
        <v>0.51977272727272728</v>
      </c>
      <c r="O152" s="505">
        <f t="shared" si="90"/>
        <v>0.51977272727272728</v>
      </c>
      <c r="P152" s="229"/>
      <c r="Q152" s="234" t="s">
        <v>204</v>
      </c>
      <c r="R152" s="266" t="s">
        <v>180</v>
      </c>
      <c r="S152" s="228" t="s">
        <v>204</v>
      </c>
      <c r="T152" s="732">
        <f>+'Plan de Accion Misional'!AU9</f>
        <v>0.51977272727272728</v>
      </c>
      <c r="U152" s="732">
        <f>IF(T152&gt;100%,100%,T152)</f>
        <v>0.51977272727272728</v>
      </c>
      <c r="V152" s="227">
        <f>+U152</f>
        <v>0.51977272727272728</v>
      </c>
      <c r="W152" s="229"/>
      <c r="X152" s="234" t="s">
        <v>204</v>
      </c>
      <c r="Y152" s="266" t="s">
        <v>180</v>
      </c>
      <c r="Z152" s="228" t="s">
        <v>204</v>
      </c>
      <c r="AA152" s="233">
        <f>+'Plan de Accion Misional'!BE9</f>
        <v>0.51977272727272728</v>
      </c>
      <c r="AB152" s="233">
        <f>IF(AA152&gt;100%,100%,AA152)</f>
        <v>0.51977272727272728</v>
      </c>
      <c r="AC152" s="232">
        <f>+AB152</f>
        <v>0.51977272727272728</v>
      </c>
      <c r="AD152" s="229"/>
      <c r="AE152" s="235" t="s">
        <v>204</v>
      </c>
      <c r="AF152" s="266" t="s">
        <v>180</v>
      </c>
      <c r="AG152" s="228" t="s">
        <v>204</v>
      </c>
      <c r="AH152" s="266">
        <f>+'Plan de Accion Misional'!BO9</f>
        <v>0.51977272727272728</v>
      </c>
      <c r="AI152" s="227">
        <f t="shared" si="88"/>
        <v>0.51977272727272728</v>
      </c>
      <c r="AJ152" s="1256"/>
      <c r="AK152" s="253"/>
      <c r="AL152" s="1279"/>
      <c r="AM152" s="1258"/>
      <c r="AN152" s="220"/>
      <c r="AO152" s="1279"/>
      <c r="AP152" s="1258"/>
      <c r="AQ152" s="220"/>
      <c r="AR152" s="1279"/>
      <c r="AS152" s="1258"/>
      <c r="AT152" s="220"/>
      <c r="AU152" s="1279"/>
      <c r="AV152" s="1258"/>
      <c r="AW152" s="218"/>
      <c r="AX152" s="1275"/>
      <c r="AY152" s="252"/>
      <c r="AZ152" s="1279"/>
      <c r="BA152" s="1258"/>
      <c r="BB152" s="220"/>
      <c r="BC152" s="1279"/>
      <c r="BD152" s="1258"/>
      <c r="BE152" s="220"/>
      <c r="BF152" s="1279"/>
      <c r="BG152" s="1258"/>
      <c r="BH152" s="220"/>
      <c r="BI152" s="1279"/>
      <c r="BJ152" s="1258"/>
      <c r="BK152" s="218"/>
      <c r="BL152" s="1275"/>
      <c r="BN152" s="1279"/>
      <c r="BO152" s="1258"/>
      <c r="BP152" s="220"/>
      <c r="BQ152" s="1279"/>
      <c r="BR152" s="1258"/>
      <c r="BS152" s="220"/>
      <c r="BT152" s="1279"/>
      <c r="BU152" s="1258"/>
      <c r="BV152" s="220"/>
      <c r="BW152" s="1279"/>
      <c r="BX152" s="1258"/>
      <c r="BY152" s="218"/>
      <c r="BZ152" s="1275"/>
      <c r="CB152" s="1279"/>
      <c r="CC152" s="1258"/>
      <c r="CD152" s="220"/>
      <c r="CE152" s="1279"/>
      <c r="CF152" s="1258"/>
      <c r="CG152" s="220"/>
      <c r="CH152" s="1279"/>
      <c r="CI152" s="1258"/>
      <c r="CJ152" s="220"/>
      <c r="CK152" s="1279"/>
      <c r="CL152" s="1258"/>
      <c r="CM152" s="218"/>
      <c r="CN152" s="1275"/>
    </row>
    <row r="153" spans="2:92" ht="94.5" customHeight="1" x14ac:dyDescent="0.2">
      <c r="B153" s="1341"/>
      <c r="C153" s="1231"/>
      <c r="D153" s="1215"/>
      <c r="E153" s="1212"/>
      <c r="F153" s="1210"/>
      <c r="G153" s="585" t="str">
        <f>+'Plan de Accion Misional'!K21</f>
        <v>Reclamaciones de cobro coactivo gestionadas</v>
      </c>
      <c r="H153" s="231" t="str">
        <f>+'Plan de Accion Misional'!X21</f>
        <v># Reclamaciones de cobro coactivo gestionadas</v>
      </c>
      <c r="J153" s="234">
        <f>+'Plan de Accion Misional'!AG21</f>
        <v>0</v>
      </c>
      <c r="K153" s="579" t="str">
        <f>+'Plan de Accion Misional'!BR21</f>
        <v>No Prog ni Ejec</v>
      </c>
      <c r="L153" s="579" t="s">
        <v>204</v>
      </c>
      <c r="M153" s="579">
        <f>+'Plan de Accion Misional'!AK21</f>
        <v>0</v>
      </c>
      <c r="N153" s="579">
        <f t="shared" ref="N153" si="94">IF(M153&gt;100%,100%,M153)</f>
        <v>0</v>
      </c>
      <c r="O153" s="581" t="s">
        <v>204</v>
      </c>
      <c r="P153" s="229"/>
      <c r="Q153" s="234">
        <f>+'Plan de Accion Misional'!AQ21</f>
        <v>0</v>
      </c>
      <c r="R153" s="266" t="str">
        <f>+'Plan de Accion Misional'!BT21</f>
        <v>No Prog ni Ejec</v>
      </c>
      <c r="S153" s="228" t="s">
        <v>204</v>
      </c>
      <c r="T153" s="579">
        <f>+'Plan de Accion Misional'!AU21</f>
        <v>0</v>
      </c>
      <c r="U153" s="579">
        <f t="shared" ref="U153" si="95">IF(T153&gt;100%,100%,T153)</f>
        <v>0</v>
      </c>
      <c r="V153" s="227" t="s">
        <v>204</v>
      </c>
      <c r="W153" s="229"/>
      <c r="X153" s="234">
        <f>+'Plan de Accion Misional'!BA21</f>
        <v>0</v>
      </c>
      <c r="Y153" s="266" t="str">
        <f>+'Plan de Accion Misional'!BV21</f>
        <v>No Prog ni Ejec</v>
      </c>
      <c r="Z153" s="228" t="s">
        <v>204</v>
      </c>
      <c r="AA153" s="233">
        <f>+'Plan de Accion Misional'!BE21</f>
        <v>0</v>
      </c>
      <c r="AB153" s="233">
        <f t="shared" ref="AB153" si="96">IF(AA153&gt;100%,100%,AA153)</f>
        <v>0</v>
      </c>
      <c r="AC153" s="232" t="s">
        <v>204</v>
      </c>
      <c r="AD153" s="229"/>
      <c r="AE153" s="235">
        <f>+'Plan de Accion Misional'!BK21</f>
        <v>0</v>
      </c>
      <c r="AF153" s="266">
        <f>+'Plan de Accion Misional'!BX21</f>
        <v>0</v>
      </c>
      <c r="AG153" s="228">
        <f>IF(AF153&gt;100%,100%,AF153)</f>
        <v>0</v>
      </c>
      <c r="AH153" s="266">
        <f>+'Plan de Accion Misional'!BO21</f>
        <v>0</v>
      </c>
      <c r="AI153" s="227">
        <f t="shared" ref="AI153:AI154" si="97">IF(AH153&gt;100%,100%,AH153)</f>
        <v>0</v>
      </c>
      <c r="AJ153" s="1256"/>
      <c r="AK153" s="253"/>
      <c r="AL153" s="1279"/>
      <c r="AM153" s="1258"/>
      <c r="AN153" s="220"/>
      <c r="AO153" s="1279"/>
      <c r="AP153" s="1258"/>
      <c r="AQ153" s="220"/>
      <c r="AR153" s="1279"/>
      <c r="AS153" s="1258"/>
      <c r="AT153" s="220"/>
      <c r="AU153" s="1279"/>
      <c r="AV153" s="1258"/>
      <c r="AW153" s="218"/>
      <c r="AX153" s="1275"/>
      <c r="AY153" s="252"/>
      <c r="AZ153" s="1279"/>
      <c r="BA153" s="1258"/>
      <c r="BB153" s="220"/>
      <c r="BC153" s="1279"/>
      <c r="BD153" s="1258"/>
      <c r="BE153" s="220"/>
      <c r="BF153" s="1279"/>
      <c r="BG153" s="1258"/>
      <c r="BH153" s="220"/>
      <c r="BI153" s="1279"/>
      <c r="BJ153" s="1258"/>
      <c r="BK153" s="218"/>
      <c r="BL153" s="1275"/>
      <c r="BN153" s="1279"/>
      <c r="BO153" s="1258"/>
      <c r="BP153" s="220"/>
      <c r="BQ153" s="1279"/>
      <c r="BR153" s="1258"/>
      <c r="BS153" s="220"/>
      <c r="BT153" s="1279"/>
      <c r="BU153" s="1258"/>
      <c r="BV153" s="220"/>
      <c r="BW153" s="1279"/>
      <c r="BX153" s="1258"/>
      <c r="BY153" s="218"/>
      <c r="BZ153" s="1275"/>
      <c r="CB153" s="1279"/>
      <c r="CC153" s="1258"/>
      <c r="CD153" s="220"/>
      <c r="CE153" s="1279"/>
      <c r="CF153" s="1258"/>
      <c r="CG153" s="220"/>
      <c r="CH153" s="1279"/>
      <c r="CI153" s="1258"/>
      <c r="CJ153" s="220"/>
      <c r="CK153" s="1279"/>
      <c r="CL153" s="1258"/>
      <c r="CM153" s="218"/>
      <c r="CN153" s="1275"/>
    </row>
    <row r="154" spans="2:92" ht="33" customHeight="1" x14ac:dyDescent="0.2">
      <c r="B154" s="1341"/>
      <c r="C154" s="1231"/>
      <c r="D154" s="1215"/>
      <c r="E154" s="1212"/>
      <c r="F154" s="1210"/>
      <c r="G154" s="335" t="str">
        <f>+'Plan de Accion Misional'!K10</f>
        <v>Comunicaciones enviadas</v>
      </c>
      <c r="H154" s="231" t="str">
        <f>+'Plan de Accion Misional'!X10</f>
        <v># Comunicaciones enviadas</v>
      </c>
      <c r="J154" s="234">
        <f>+'Plan de Accion Misional'!AG10</f>
        <v>0</v>
      </c>
      <c r="K154" s="503">
        <f>+'Plan de Accion Misional'!BR10</f>
        <v>0</v>
      </c>
      <c r="L154" s="503">
        <f t="shared" si="91"/>
        <v>0</v>
      </c>
      <c r="M154" s="503">
        <f>+'Plan de Accion Misional'!AK10</f>
        <v>0</v>
      </c>
      <c r="N154" s="503">
        <f t="shared" si="89"/>
        <v>0</v>
      </c>
      <c r="O154" s="505">
        <f t="shared" si="90"/>
        <v>0</v>
      </c>
      <c r="P154" s="229"/>
      <c r="Q154" s="234" t="s">
        <v>204</v>
      </c>
      <c r="R154" s="266" t="s">
        <v>180</v>
      </c>
      <c r="S154" s="228" t="s">
        <v>204</v>
      </c>
      <c r="T154" s="760">
        <f>+'Plan de Accion Misional'!AU10</f>
        <v>0</v>
      </c>
      <c r="U154" s="760">
        <f>IF(T154&gt;100%,100%,T154)</f>
        <v>0</v>
      </c>
      <c r="V154" s="227">
        <f>+U154</f>
        <v>0</v>
      </c>
      <c r="W154" s="229"/>
      <c r="X154" s="234" t="s">
        <v>204</v>
      </c>
      <c r="Y154" s="266" t="s">
        <v>180</v>
      </c>
      <c r="Z154" s="228" t="s">
        <v>204</v>
      </c>
      <c r="AA154" s="233">
        <f>+'Plan de Accion Misional'!BE10</f>
        <v>0</v>
      </c>
      <c r="AB154" s="233">
        <f>IF(AA154&gt;100%,100%,AA154)</f>
        <v>0</v>
      </c>
      <c r="AC154" s="232">
        <f>+AB154</f>
        <v>0</v>
      </c>
      <c r="AD154" s="229"/>
      <c r="AE154" s="235" t="s">
        <v>204</v>
      </c>
      <c r="AF154" s="266" t="s">
        <v>180</v>
      </c>
      <c r="AG154" s="228" t="s">
        <v>204</v>
      </c>
      <c r="AH154" s="266">
        <f>+'Plan de Accion Misional'!BO10</f>
        <v>0</v>
      </c>
      <c r="AI154" s="227">
        <f t="shared" si="97"/>
        <v>0</v>
      </c>
      <c r="AJ154" s="1256"/>
      <c r="AK154" s="253"/>
      <c r="AL154" s="1279"/>
      <c r="AM154" s="1258"/>
      <c r="AN154" s="220"/>
      <c r="AO154" s="1279"/>
      <c r="AP154" s="1258"/>
      <c r="AQ154" s="220"/>
      <c r="AR154" s="1279"/>
      <c r="AS154" s="1258"/>
      <c r="AT154" s="220"/>
      <c r="AU154" s="1279"/>
      <c r="AV154" s="1258"/>
      <c r="AW154" s="218"/>
      <c r="AX154" s="1275"/>
      <c r="AY154" s="252"/>
      <c r="AZ154" s="1279"/>
      <c r="BA154" s="1258"/>
      <c r="BB154" s="220"/>
      <c r="BC154" s="1279"/>
      <c r="BD154" s="1258"/>
      <c r="BE154" s="220"/>
      <c r="BF154" s="1279"/>
      <c r="BG154" s="1258"/>
      <c r="BH154" s="220"/>
      <c r="BI154" s="1279"/>
      <c r="BJ154" s="1258"/>
      <c r="BK154" s="218"/>
      <c r="BL154" s="1275"/>
      <c r="BN154" s="1279"/>
      <c r="BO154" s="1258"/>
      <c r="BP154" s="220"/>
      <c r="BQ154" s="1279"/>
      <c r="BR154" s="1258"/>
      <c r="BS154" s="220"/>
      <c r="BT154" s="1279"/>
      <c r="BU154" s="1258"/>
      <c r="BV154" s="220"/>
      <c r="BW154" s="1279"/>
      <c r="BX154" s="1258"/>
      <c r="BY154" s="218"/>
      <c r="BZ154" s="1275"/>
      <c r="CB154" s="1279"/>
      <c r="CC154" s="1258"/>
      <c r="CD154" s="220"/>
      <c r="CE154" s="1279"/>
      <c r="CF154" s="1258"/>
      <c r="CG154" s="220"/>
      <c r="CH154" s="1279"/>
      <c r="CI154" s="1258"/>
      <c r="CJ154" s="220"/>
      <c r="CK154" s="1279"/>
      <c r="CL154" s="1258"/>
      <c r="CM154" s="218"/>
      <c r="CN154" s="1275"/>
    </row>
    <row r="155" spans="2:92" ht="105" customHeight="1" x14ac:dyDescent="0.2">
      <c r="B155" s="1341"/>
      <c r="C155" s="1232"/>
      <c r="D155" s="1216"/>
      <c r="E155" s="1213"/>
      <c r="F155" s="1203"/>
      <c r="G155" s="335" t="str">
        <f>+'Plan de Accion Misional'!K14</f>
        <v>Pago de la cartera vendida a CISA S.A de resoluciones ejecutoriadas con mas de 180 días</v>
      </c>
      <c r="H155" s="231" t="str">
        <f>+'Plan de Accion Misional'!X14</f>
        <v xml:space="preserve"># Reclamaciones perfiladas como de difícil recaudo / # Reclamaciones enviadas para estudio de compra a CISA  </v>
      </c>
      <c r="J155" s="230">
        <f>+'Plan de Accion Misional'!AG14</f>
        <v>0</v>
      </c>
      <c r="K155" s="503" t="str">
        <f>+'Plan de Accion Misional'!BR14</f>
        <v>No Prog ni Ejec</v>
      </c>
      <c r="L155" s="503" t="s">
        <v>204</v>
      </c>
      <c r="M155" s="503">
        <f>+'Plan de Accion Misional'!AK14</f>
        <v>0</v>
      </c>
      <c r="N155" s="503">
        <f t="shared" si="89"/>
        <v>0</v>
      </c>
      <c r="O155" s="505" t="s">
        <v>204</v>
      </c>
      <c r="P155" s="229"/>
      <c r="Q155" s="230">
        <f>+'Plan de Accion Misional'!AQ14</f>
        <v>0</v>
      </c>
      <c r="R155" s="266" t="str">
        <f>+'Plan de Accion Misional'!BT14</f>
        <v>No Prog ni Ejec</v>
      </c>
      <c r="S155" s="228" t="s">
        <v>204</v>
      </c>
      <c r="T155" s="324">
        <f>+'Plan de Accion Misional'!AU14</f>
        <v>0</v>
      </c>
      <c r="U155" s="324">
        <f t="shared" ref="U155:U165" si="98">IF(T155&gt;100%,100%,T155)</f>
        <v>0</v>
      </c>
      <c r="V155" s="227" t="s">
        <v>204</v>
      </c>
      <c r="W155" s="229"/>
      <c r="X155" s="230">
        <f>+'Plan de Accion Misional'!BA14</f>
        <v>0</v>
      </c>
      <c r="Y155" s="266" t="str">
        <f>+'Plan de Accion Misional'!BV14</f>
        <v>No Prog ni Ejec</v>
      </c>
      <c r="Z155" s="228" t="s">
        <v>204</v>
      </c>
      <c r="AA155" s="233">
        <f>+'Plan de Accion Misional'!BE14</f>
        <v>0</v>
      </c>
      <c r="AB155" s="233">
        <f t="shared" ref="AB155:AB165" si="99">IF(AA155&gt;100%,100%,AA155)</f>
        <v>0</v>
      </c>
      <c r="AC155" s="232" t="s">
        <v>204</v>
      </c>
      <c r="AD155" s="229"/>
      <c r="AE155" s="230">
        <f>+'Plan de Accion Misional'!BK14</f>
        <v>0</v>
      </c>
      <c r="AF155" s="266">
        <f>+'Plan de Accion Misional'!BX14</f>
        <v>0</v>
      </c>
      <c r="AG155" s="228">
        <f t="shared" ref="AG155:AG158" si="100">IF(AF155&gt;100%,100%,AF155)</f>
        <v>0</v>
      </c>
      <c r="AH155" s="266">
        <f>+'Plan de Accion Misional'!BO14</f>
        <v>0</v>
      </c>
      <c r="AI155" s="227">
        <f t="shared" ref="AI155:AI165" si="101">IF(AH155&gt;100%,100%,AH155)</f>
        <v>0</v>
      </c>
      <c r="AJ155" s="1256"/>
      <c r="AK155" s="253"/>
      <c r="AL155" s="1279"/>
      <c r="AM155" s="1258"/>
      <c r="AN155" s="220"/>
      <c r="AO155" s="1279"/>
      <c r="AP155" s="1258"/>
      <c r="AQ155" s="220"/>
      <c r="AR155" s="1279"/>
      <c r="AS155" s="1258"/>
      <c r="AT155" s="220"/>
      <c r="AU155" s="1279"/>
      <c r="AV155" s="1258"/>
      <c r="AW155" s="218"/>
      <c r="AX155" s="1275"/>
      <c r="AY155" s="252"/>
      <c r="AZ155" s="1279"/>
      <c r="BA155" s="1258"/>
      <c r="BB155" s="220"/>
      <c r="BC155" s="1279"/>
      <c r="BD155" s="1258"/>
      <c r="BE155" s="220"/>
      <c r="BF155" s="1279"/>
      <c r="BG155" s="1258"/>
      <c r="BH155" s="220"/>
      <c r="BI155" s="1279"/>
      <c r="BJ155" s="1258"/>
      <c r="BK155" s="218"/>
      <c r="BL155" s="1275"/>
      <c r="BN155" s="1279"/>
      <c r="BO155" s="1258"/>
      <c r="BP155" s="220"/>
      <c r="BQ155" s="1279"/>
      <c r="BR155" s="1258"/>
      <c r="BS155" s="220"/>
      <c r="BT155" s="1279"/>
      <c r="BU155" s="1258"/>
      <c r="BV155" s="220"/>
      <c r="BW155" s="1279"/>
      <c r="BX155" s="1258"/>
      <c r="BY155" s="218"/>
      <c r="BZ155" s="1275"/>
      <c r="CB155" s="1279"/>
      <c r="CC155" s="1258"/>
      <c r="CD155" s="220"/>
      <c r="CE155" s="1279"/>
      <c r="CF155" s="1258"/>
      <c r="CG155" s="220"/>
      <c r="CH155" s="1279"/>
      <c r="CI155" s="1258"/>
      <c r="CJ155" s="220"/>
      <c r="CK155" s="1279"/>
      <c r="CL155" s="1258"/>
      <c r="CM155" s="218"/>
      <c r="CN155" s="1275"/>
    </row>
    <row r="156" spans="2:92" ht="50.1" customHeight="1" x14ac:dyDescent="0.2">
      <c r="B156" s="1341"/>
      <c r="C156" s="1337" t="s">
        <v>59</v>
      </c>
      <c r="D156" s="1214" t="s">
        <v>204</v>
      </c>
      <c r="E156" s="1202" t="s">
        <v>1186</v>
      </c>
      <c r="F156" s="1202" t="s">
        <v>330</v>
      </c>
      <c r="G156" s="342" t="str">
        <f>+'Plan de Accion Misional'!K16</f>
        <v>Publicación  Ejecución Presupuestal</v>
      </c>
      <c r="H156" s="231" t="str">
        <f>+'Plan de Accion Misional'!X16</f>
        <v># Ejecuciones Presupuestales Publicadas</v>
      </c>
      <c r="J156" s="235">
        <f>+'Plan de Accion Misional'!AG16</f>
        <v>3</v>
      </c>
      <c r="K156" s="503">
        <f>+'Plan de Accion Misional'!BR16</f>
        <v>1</v>
      </c>
      <c r="L156" s="503">
        <f>IF(K156&gt;100%,100%,K156)</f>
        <v>1</v>
      </c>
      <c r="M156" s="503">
        <f>+'Plan de Accion Misional'!AK16</f>
        <v>0.25</v>
      </c>
      <c r="N156" s="503">
        <f>IF(M156&gt;100%,100%,M156)</f>
        <v>0.25</v>
      </c>
      <c r="O156" s="505">
        <f>+N156</f>
        <v>0.25</v>
      </c>
      <c r="P156" s="229"/>
      <c r="Q156" s="230">
        <f>+'Plan de Accion Misional'!AQ16</f>
        <v>3</v>
      </c>
      <c r="R156" s="266">
        <f>+'Plan de Accion Misional'!BT16</f>
        <v>1</v>
      </c>
      <c r="S156" s="228">
        <f>IF(R156&gt;100%,100%,R156)</f>
        <v>1</v>
      </c>
      <c r="T156" s="345">
        <f>+'Plan de Accion Misional'!AU16</f>
        <v>0.5</v>
      </c>
      <c r="U156" s="345">
        <f>IF(T156&gt;100%,100%,T156)</f>
        <v>0.5</v>
      </c>
      <c r="V156" s="227">
        <f>+U156</f>
        <v>0.5</v>
      </c>
      <c r="W156" s="229"/>
      <c r="X156" s="230">
        <f>+'Plan de Accion Misional'!BA16</f>
        <v>0</v>
      </c>
      <c r="Y156" s="266">
        <f>+'Plan de Accion Misional'!BV16</f>
        <v>0</v>
      </c>
      <c r="Z156" s="228">
        <f>IF(Y156&gt;100%,100%,Y156)</f>
        <v>0</v>
      </c>
      <c r="AA156" s="233">
        <f>+'Plan de Accion Misional'!BE16</f>
        <v>0.5</v>
      </c>
      <c r="AB156" s="233">
        <f>IF(AA156&gt;100%,100%,AA156)</f>
        <v>0.5</v>
      </c>
      <c r="AC156" s="232">
        <f>+AB156</f>
        <v>0.5</v>
      </c>
      <c r="AD156" s="229"/>
      <c r="AE156" s="230">
        <f>+'Plan de Accion Misional'!BK16</f>
        <v>0</v>
      </c>
      <c r="AF156" s="266">
        <f>+'Plan de Accion Misional'!BX16</f>
        <v>0</v>
      </c>
      <c r="AG156" s="228">
        <f t="shared" si="100"/>
        <v>0</v>
      </c>
      <c r="AH156" s="266">
        <f>+'Plan de Accion Misional'!BO16</f>
        <v>0.5</v>
      </c>
      <c r="AI156" s="227">
        <f>IF(AH156&gt;100%,100%,AH156)</f>
        <v>0.5</v>
      </c>
      <c r="AJ156" s="1256"/>
      <c r="AK156" s="253"/>
      <c r="AL156" s="1279"/>
      <c r="AM156" s="1258"/>
      <c r="AN156" s="220"/>
      <c r="AO156" s="1279"/>
      <c r="AP156" s="1258"/>
      <c r="AQ156" s="220"/>
      <c r="AR156" s="1279"/>
      <c r="AS156" s="1258"/>
      <c r="AT156" s="220"/>
      <c r="AU156" s="1279"/>
      <c r="AV156" s="1258"/>
      <c r="AW156" s="218"/>
      <c r="AX156" s="1275"/>
      <c r="AY156" s="252"/>
      <c r="AZ156" s="1279"/>
      <c r="BA156" s="1258"/>
      <c r="BB156" s="220"/>
      <c r="BC156" s="1279"/>
      <c r="BD156" s="1258"/>
      <c r="BE156" s="220"/>
      <c r="BF156" s="1279"/>
      <c r="BG156" s="1258"/>
      <c r="BH156" s="220"/>
      <c r="BI156" s="1279"/>
      <c r="BJ156" s="1258"/>
      <c r="BK156" s="218"/>
      <c r="BL156" s="1275"/>
      <c r="BN156" s="1279"/>
      <c r="BO156" s="1258"/>
      <c r="BP156" s="220"/>
      <c r="BQ156" s="1279"/>
      <c r="BR156" s="1258"/>
      <c r="BS156" s="220"/>
      <c r="BT156" s="1279"/>
      <c r="BU156" s="1258"/>
      <c r="BV156" s="220"/>
      <c r="BW156" s="1279"/>
      <c r="BX156" s="1258"/>
      <c r="BY156" s="218"/>
      <c r="BZ156" s="1275"/>
      <c r="CB156" s="1279"/>
      <c r="CC156" s="1258"/>
      <c r="CD156" s="220"/>
      <c r="CE156" s="1279"/>
      <c r="CF156" s="1258"/>
      <c r="CG156" s="220"/>
      <c r="CH156" s="1279"/>
      <c r="CI156" s="1258"/>
      <c r="CJ156" s="220"/>
      <c r="CK156" s="1279"/>
      <c r="CL156" s="1258"/>
      <c r="CM156" s="218"/>
      <c r="CN156" s="1275"/>
    </row>
    <row r="157" spans="2:92" ht="50.1" customHeight="1" x14ac:dyDescent="0.2">
      <c r="B157" s="1341"/>
      <c r="C157" s="1338"/>
      <c r="D157" s="1215"/>
      <c r="E157" s="1210"/>
      <c r="F157" s="1210"/>
      <c r="G157" s="342" t="str">
        <f>+'Plan de Accion Misional'!K18</f>
        <v>Ordenes de Giros tramitadas</v>
      </c>
      <c r="H157" s="231" t="str">
        <f>+'Plan de Accion Misional'!X18</f>
        <v># Ordenes Giradas / # Ordenes solicitadas</v>
      </c>
      <c r="J157" s="230">
        <f>+'Plan de Accion Misional'!AG18</f>
        <v>0.25</v>
      </c>
      <c r="K157" s="503">
        <f>+'Plan de Accion Misional'!BR18</f>
        <v>1</v>
      </c>
      <c r="L157" s="503">
        <f>IF(K157&gt;100%,100%,K157)</f>
        <v>1</v>
      </c>
      <c r="M157" s="503">
        <f>+'Plan de Accion Misional'!AK18</f>
        <v>0.25</v>
      </c>
      <c r="N157" s="503">
        <f>IF(M157&gt;100%,100%,M157)</f>
        <v>0.25</v>
      </c>
      <c r="O157" s="505">
        <f>+N157</f>
        <v>0.25</v>
      </c>
      <c r="P157" s="229"/>
      <c r="Q157" s="230">
        <f>+'Plan de Accion Misional'!AQ18</f>
        <v>0.25</v>
      </c>
      <c r="R157" s="266">
        <f>+'Plan de Accion Misional'!BT18</f>
        <v>1</v>
      </c>
      <c r="S157" s="228">
        <f>IF(R157&gt;100%,100%,R157)</f>
        <v>1</v>
      </c>
      <c r="T157" s="345">
        <f>+'Plan de Accion Misional'!AU18</f>
        <v>0.5</v>
      </c>
      <c r="U157" s="345">
        <f>IF(T157&gt;100%,100%,T157)</f>
        <v>0.5</v>
      </c>
      <c r="V157" s="227">
        <f>+U157</f>
        <v>0.5</v>
      </c>
      <c r="W157" s="229"/>
      <c r="X157" s="230">
        <f>+'Plan de Accion Misional'!BA18</f>
        <v>0</v>
      </c>
      <c r="Y157" s="266">
        <f>+'Plan de Accion Misional'!BV18</f>
        <v>0</v>
      </c>
      <c r="Z157" s="228">
        <f>IF(Y157&gt;100%,100%,Y157)</f>
        <v>0</v>
      </c>
      <c r="AA157" s="233">
        <f>+'Plan de Accion Misional'!BE18</f>
        <v>0.5</v>
      </c>
      <c r="AB157" s="233">
        <f>IF(AA157&gt;100%,100%,AA157)</f>
        <v>0.5</v>
      </c>
      <c r="AC157" s="232">
        <f>+AB157</f>
        <v>0.5</v>
      </c>
      <c r="AD157" s="229"/>
      <c r="AE157" s="230">
        <f>+'Plan de Accion Misional'!BK18</f>
        <v>0</v>
      </c>
      <c r="AF157" s="266">
        <f>+'Plan de Accion Misional'!BX18</f>
        <v>0</v>
      </c>
      <c r="AG157" s="228">
        <f t="shared" si="100"/>
        <v>0</v>
      </c>
      <c r="AH157" s="266">
        <f>+'Plan de Accion Misional'!BO18</f>
        <v>0.5</v>
      </c>
      <c r="AI157" s="227">
        <f>IF(AH157&gt;100%,100%,AH157)</f>
        <v>0.5</v>
      </c>
      <c r="AJ157" s="1256"/>
      <c r="AK157" s="253"/>
      <c r="AL157" s="1279"/>
      <c r="AM157" s="1258"/>
      <c r="AN157" s="220"/>
      <c r="AO157" s="1279"/>
      <c r="AP157" s="1258"/>
      <c r="AQ157" s="220"/>
      <c r="AR157" s="1279"/>
      <c r="AS157" s="1258"/>
      <c r="AT157" s="220"/>
      <c r="AU157" s="1279"/>
      <c r="AV157" s="1258"/>
      <c r="AW157" s="218"/>
      <c r="AX157" s="1275"/>
      <c r="AY157" s="252"/>
      <c r="AZ157" s="1279"/>
      <c r="BA157" s="1258"/>
      <c r="BB157" s="220"/>
      <c r="BC157" s="1279"/>
      <c r="BD157" s="1258"/>
      <c r="BE157" s="220"/>
      <c r="BF157" s="1279"/>
      <c r="BG157" s="1258"/>
      <c r="BH157" s="220"/>
      <c r="BI157" s="1279"/>
      <c r="BJ157" s="1258"/>
      <c r="BK157" s="218"/>
      <c r="BL157" s="1275"/>
      <c r="BN157" s="1279"/>
      <c r="BO157" s="1258"/>
      <c r="BP157" s="220"/>
      <c r="BQ157" s="1279"/>
      <c r="BR157" s="1258"/>
      <c r="BS157" s="220"/>
      <c r="BT157" s="1279"/>
      <c r="BU157" s="1258"/>
      <c r="BV157" s="220"/>
      <c r="BW157" s="1279"/>
      <c r="BX157" s="1258"/>
      <c r="BY157" s="218"/>
      <c r="BZ157" s="1275"/>
      <c r="CB157" s="1279"/>
      <c r="CC157" s="1258"/>
      <c r="CD157" s="220"/>
      <c r="CE157" s="1279"/>
      <c r="CF157" s="1258"/>
      <c r="CG157" s="220"/>
      <c r="CH157" s="1279"/>
      <c r="CI157" s="1258"/>
      <c r="CJ157" s="220"/>
      <c r="CK157" s="1279"/>
      <c r="CL157" s="1258"/>
      <c r="CM157" s="218"/>
      <c r="CN157" s="1275"/>
    </row>
    <row r="158" spans="2:92" ht="75" customHeight="1" x14ac:dyDescent="0.2">
      <c r="B158" s="1341"/>
      <c r="C158" s="1339"/>
      <c r="D158" s="1216"/>
      <c r="E158" s="1203"/>
      <c r="F158" s="1203"/>
      <c r="G158" s="342" t="str">
        <f>+'Plan de Accion Misional'!K20</f>
        <v>Estados Financieros</v>
      </c>
      <c r="H158" s="231" t="str">
        <f>+'Plan de Accion Misional'!X20</f>
        <v># Estados Financieros reportados a entes de control  / # Estados Financieros solicitados por entes de control</v>
      </c>
      <c r="J158" s="230">
        <f>+'Plan de Accion Misional'!AG20</f>
        <v>1</v>
      </c>
      <c r="K158" s="503">
        <f>+'Plan de Accion Misional'!BR20</f>
        <v>1</v>
      </c>
      <c r="L158" s="503">
        <f>IF(K158&gt;100%,100%,K158)</f>
        <v>1</v>
      </c>
      <c r="M158" s="503">
        <f>+'Plan de Accion Misional'!AK20</f>
        <v>0.25</v>
      </c>
      <c r="N158" s="503">
        <f>IF(M158&gt;100%,100%,M158)</f>
        <v>0.25</v>
      </c>
      <c r="O158" s="505">
        <f>+N158</f>
        <v>0.25</v>
      </c>
      <c r="P158" s="229"/>
      <c r="Q158" s="230">
        <f>+'Plan de Accion Misional'!AQ20</f>
        <v>1</v>
      </c>
      <c r="R158" s="266">
        <f>+'Plan de Accion Misional'!BT20</f>
        <v>1</v>
      </c>
      <c r="S158" s="228">
        <f>IF(R158&gt;100%,100%,R158)</f>
        <v>1</v>
      </c>
      <c r="T158" s="345">
        <f>+'Plan de Accion Misional'!AU20</f>
        <v>0.5</v>
      </c>
      <c r="U158" s="345">
        <f>IF(T158&gt;100%,100%,T158)</f>
        <v>0.5</v>
      </c>
      <c r="V158" s="227">
        <f>+U158</f>
        <v>0.5</v>
      </c>
      <c r="W158" s="229"/>
      <c r="X158" s="230">
        <f>+'Plan de Accion Misional'!BA20</f>
        <v>0</v>
      </c>
      <c r="Y158" s="266">
        <f>+'Plan de Accion Misional'!BV20</f>
        <v>0</v>
      </c>
      <c r="Z158" s="228">
        <f>IF(Y158&gt;100%,100%,Y158)</f>
        <v>0</v>
      </c>
      <c r="AA158" s="233">
        <f>+'Plan de Accion Misional'!BE20</f>
        <v>0.5</v>
      </c>
      <c r="AB158" s="233">
        <f>IF(AA158&gt;100%,100%,AA158)</f>
        <v>0.5</v>
      </c>
      <c r="AC158" s="232">
        <f>+AB158</f>
        <v>0.5</v>
      </c>
      <c r="AD158" s="229"/>
      <c r="AE158" s="230">
        <f>+'Plan de Accion Misional'!BK20</f>
        <v>0</v>
      </c>
      <c r="AF158" s="266">
        <f>+'Plan de Accion Misional'!BX20</f>
        <v>0</v>
      </c>
      <c r="AG158" s="228">
        <f t="shared" si="100"/>
        <v>0</v>
      </c>
      <c r="AH158" s="266">
        <f>+'Plan de Accion Misional'!BO20</f>
        <v>0.5</v>
      </c>
      <c r="AI158" s="227">
        <f>IF(AH158&gt;100%,100%,AH158)</f>
        <v>0.5</v>
      </c>
      <c r="AJ158" s="1256"/>
      <c r="AK158" s="253"/>
      <c r="AL158" s="1279"/>
      <c r="AM158" s="1258"/>
      <c r="AN158" s="220"/>
      <c r="AO158" s="1279"/>
      <c r="AP158" s="1258"/>
      <c r="AQ158" s="220"/>
      <c r="AR158" s="1279"/>
      <c r="AS158" s="1258"/>
      <c r="AT158" s="220"/>
      <c r="AU158" s="1279"/>
      <c r="AV158" s="1258"/>
      <c r="AW158" s="218"/>
      <c r="AX158" s="1275"/>
      <c r="AY158" s="252"/>
      <c r="AZ158" s="1279"/>
      <c r="BA158" s="1258"/>
      <c r="BB158" s="220"/>
      <c r="BC158" s="1279"/>
      <c r="BD158" s="1258"/>
      <c r="BE158" s="220"/>
      <c r="BF158" s="1279"/>
      <c r="BG158" s="1258"/>
      <c r="BH158" s="220"/>
      <c r="BI158" s="1279"/>
      <c r="BJ158" s="1258"/>
      <c r="BK158" s="218"/>
      <c r="BL158" s="1275"/>
      <c r="BN158" s="1279"/>
      <c r="BO158" s="1258"/>
      <c r="BP158" s="220"/>
      <c r="BQ158" s="1279"/>
      <c r="BR158" s="1258"/>
      <c r="BS158" s="220"/>
      <c r="BT158" s="1279"/>
      <c r="BU158" s="1258"/>
      <c r="BV158" s="220"/>
      <c r="BW158" s="1279"/>
      <c r="BX158" s="1258"/>
      <c r="BY158" s="218"/>
      <c r="BZ158" s="1275"/>
      <c r="CB158" s="1279"/>
      <c r="CC158" s="1258"/>
      <c r="CD158" s="220"/>
      <c r="CE158" s="1279"/>
      <c r="CF158" s="1258"/>
      <c r="CG158" s="220"/>
      <c r="CH158" s="1279"/>
      <c r="CI158" s="1258"/>
      <c r="CJ158" s="220"/>
      <c r="CK158" s="1279"/>
      <c r="CL158" s="1258"/>
      <c r="CM158" s="218"/>
      <c r="CN158" s="1275"/>
    </row>
    <row r="159" spans="2:92" ht="105" customHeight="1" x14ac:dyDescent="0.2">
      <c r="B159" s="1341"/>
      <c r="C159" s="1337" t="s">
        <v>60</v>
      </c>
      <c r="D159" s="1214" t="s">
        <v>204</v>
      </c>
      <c r="E159" s="1202" t="s">
        <v>125</v>
      </c>
      <c r="F159" s="1202" t="s">
        <v>330</v>
      </c>
      <c r="G159" s="335" t="str">
        <f>+'Plan de Accion apoyo transversa'!X26</f>
        <v>Revisión, análisis y liquidación de sentencias condenatorias</v>
      </c>
      <c r="H159" s="231"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59" s="230">
        <f>+'Plan de Accion apoyo transversa'!AT26</f>
        <v>0</v>
      </c>
      <c r="K159" s="503" t="str">
        <f>+'Plan de Accion apoyo transversa'!CE26</f>
        <v>No Prog ni Ejec</v>
      </c>
      <c r="L159" s="503" t="s">
        <v>204</v>
      </c>
      <c r="M159" s="503">
        <f>+'Plan de Accion apoyo transversa'!AX26</f>
        <v>0</v>
      </c>
      <c r="N159" s="503">
        <f t="shared" si="89"/>
        <v>0</v>
      </c>
      <c r="O159" s="505" t="s">
        <v>204</v>
      </c>
      <c r="P159" s="229"/>
      <c r="Q159" s="230">
        <f>+'Plan de Accion apoyo transversa'!BD26</f>
        <v>0.5</v>
      </c>
      <c r="R159" s="266">
        <f>+'Plan de Accion apoyo transversa'!CG26</f>
        <v>1</v>
      </c>
      <c r="S159" s="228">
        <f t="shared" ref="S159:S164" si="102">IF(R159&gt;100%,100%,R159)</f>
        <v>1</v>
      </c>
      <c r="T159" s="324">
        <f>+'Plan de Accion apoyo transversa'!BH26</f>
        <v>0.5</v>
      </c>
      <c r="U159" s="324">
        <f t="shared" si="98"/>
        <v>0.5</v>
      </c>
      <c r="V159" s="227">
        <f t="shared" ref="V159:V164" si="103">+U159</f>
        <v>0.5</v>
      </c>
      <c r="W159" s="229"/>
      <c r="X159" s="230">
        <f>+'Plan de Accion apoyo transversa'!BN26</f>
        <v>0</v>
      </c>
      <c r="Y159" s="266" t="str">
        <f>+'Plan de Accion apoyo transversa'!CI26</f>
        <v>No Prog ni Ejec</v>
      </c>
      <c r="Z159" s="228" t="s">
        <v>204</v>
      </c>
      <c r="AA159" s="233">
        <f>+'Plan de Accion apoyo transversa'!BR26</f>
        <v>0.5</v>
      </c>
      <c r="AB159" s="233">
        <f t="shared" si="99"/>
        <v>0.5</v>
      </c>
      <c r="AC159" s="232">
        <f t="shared" ref="AC159:AC164" si="104">+AB159</f>
        <v>0.5</v>
      </c>
      <c r="AD159" s="229"/>
      <c r="AE159" s="230">
        <f>+'Plan de Accion apoyo transversa'!BX26</f>
        <v>0</v>
      </c>
      <c r="AF159" s="266">
        <f>+'Plan de Accion apoyo transversa'!CK26</f>
        <v>0</v>
      </c>
      <c r="AG159" s="228">
        <f t="shared" ref="AG159:AG165" si="105">IF(AF159&gt;100%,100%,AF159)</f>
        <v>0</v>
      </c>
      <c r="AH159" s="266">
        <f>+'Plan de Accion apoyo transversa'!CB26</f>
        <v>0.5</v>
      </c>
      <c r="AI159" s="227">
        <f t="shared" si="101"/>
        <v>0.5</v>
      </c>
      <c r="AJ159" s="1256"/>
      <c r="AK159" s="253"/>
      <c r="AL159" s="1279"/>
      <c r="AM159" s="1258"/>
      <c r="AN159" s="220"/>
      <c r="AO159" s="1279"/>
      <c r="AP159" s="1258"/>
      <c r="AQ159" s="220"/>
      <c r="AR159" s="1279"/>
      <c r="AS159" s="1258"/>
      <c r="AT159" s="220"/>
      <c r="AU159" s="1279"/>
      <c r="AV159" s="1258"/>
      <c r="AW159" s="218"/>
      <c r="AX159" s="1275"/>
      <c r="AY159" s="252"/>
      <c r="AZ159" s="1279"/>
      <c r="BA159" s="1258"/>
      <c r="BB159" s="220"/>
      <c r="BC159" s="1279"/>
      <c r="BD159" s="1258"/>
      <c r="BE159" s="220"/>
      <c r="BF159" s="1279"/>
      <c r="BG159" s="1258"/>
      <c r="BH159" s="220"/>
      <c r="BI159" s="1279"/>
      <c r="BJ159" s="1258"/>
      <c r="BK159" s="218"/>
      <c r="BL159" s="1275"/>
      <c r="BN159" s="1279"/>
      <c r="BO159" s="1258"/>
      <c r="BP159" s="220"/>
      <c r="BQ159" s="1279"/>
      <c r="BR159" s="1258"/>
      <c r="BS159" s="220"/>
      <c r="BT159" s="1279"/>
      <c r="BU159" s="1258"/>
      <c r="BV159" s="220"/>
      <c r="BW159" s="1279"/>
      <c r="BX159" s="1258"/>
      <c r="BY159" s="218"/>
      <c r="BZ159" s="1275"/>
      <c r="CB159" s="1279"/>
      <c r="CC159" s="1258"/>
      <c r="CD159" s="220"/>
      <c r="CE159" s="1279"/>
      <c r="CF159" s="1258"/>
      <c r="CG159" s="220"/>
      <c r="CH159" s="1279"/>
      <c r="CI159" s="1258"/>
      <c r="CJ159" s="220"/>
      <c r="CK159" s="1279"/>
      <c r="CL159" s="1258"/>
      <c r="CM159" s="218"/>
      <c r="CN159" s="1275"/>
    </row>
    <row r="160" spans="2:92" ht="105" customHeight="1" x14ac:dyDescent="0.2">
      <c r="B160" s="1341"/>
      <c r="C160" s="1338"/>
      <c r="D160" s="1215"/>
      <c r="E160" s="1210"/>
      <c r="F160" s="1210"/>
      <c r="G160" s="335" t="str">
        <f>+'Plan de Accion apoyo transversa'!X31</f>
        <v>Demandas Contestadas Oportunamente</v>
      </c>
      <c r="H160" s="231" t="str">
        <f>+'Plan de Accion apoyo transversa'!AK31</f>
        <v># Demandas Contestadas Oportunamente / # Demandas en término de contestación en el trimestre</v>
      </c>
      <c r="J160" s="230">
        <f>+'Plan de Accion apoyo transversa'!AT31</f>
        <v>0.25</v>
      </c>
      <c r="K160" s="503">
        <f>+'Plan de Accion apoyo transversa'!CE31</f>
        <v>1</v>
      </c>
      <c r="L160" s="503">
        <f>IF(K160&gt;100%,100%,K160)</f>
        <v>1</v>
      </c>
      <c r="M160" s="503">
        <f>+'Plan de Accion apoyo transversa'!AX31</f>
        <v>0.25</v>
      </c>
      <c r="N160" s="503">
        <f t="shared" si="89"/>
        <v>0.25</v>
      </c>
      <c r="O160" s="505">
        <f>+N160</f>
        <v>0.25</v>
      </c>
      <c r="P160" s="229"/>
      <c r="Q160" s="230">
        <f>+'Plan de Accion apoyo transversa'!BD31</f>
        <v>0.2251655629139073</v>
      </c>
      <c r="R160" s="266">
        <f>+'Plan de Accion apoyo transversa'!CG31</f>
        <v>0.90066225165562919</v>
      </c>
      <c r="S160" s="228">
        <f t="shared" si="102"/>
        <v>0.90066225165562919</v>
      </c>
      <c r="T160" s="324">
        <f>+'Plan de Accion apoyo transversa'!BH31</f>
        <v>0.47516556291390732</v>
      </c>
      <c r="U160" s="324">
        <f t="shared" si="98"/>
        <v>0.47516556291390732</v>
      </c>
      <c r="V160" s="227">
        <f t="shared" si="103"/>
        <v>0.47516556291390732</v>
      </c>
      <c r="W160" s="229"/>
      <c r="X160" s="230">
        <f>+'Plan de Accion apoyo transversa'!BN31</f>
        <v>0</v>
      </c>
      <c r="Y160" s="266">
        <f>+'Plan de Accion apoyo transversa'!CI31</f>
        <v>0</v>
      </c>
      <c r="Z160" s="228">
        <f>IF(Y160&gt;100%,100%,Y160)</f>
        <v>0</v>
      </c>
      <c r="AA160" s="233">
        <f>+'Plan de Accion apoyo transversa'!BR31</f>
        <v>0.47516556291390732</v>
      </c>
      <c r="AB160" s="233">
        <f t="shared" si="99"/>
        <v>0.47516556291390732</v>
      </c>
      <c r="AC160" s="232">
        <f t="shared" si="104"/>
        <v>0.47516556291390732</v>
      </c>
      <c r="AD160" s="229"/>
      <c r="AE160" s="230">
        <f>+'Plan de Accion apoyo transversa'!BX31</f>
        <v>0</v>
      </c>
      <c r="AF160" s="266">
        <f>+'Plan de Accion apoyo transversa'!CK31</f>
        <v>0</v>
      </c>
      <c r="AG160" s="228">
        <f t="shared" si="105"/>
        <v>0</v>
      </c>
      <c r="AH160" s="266">
        <f>+'Plan de Accion apoyo transversa'!CB31</f>
        <v>0.47516556291390732</v>
      </c>
      <c r="AI160" s="227">
        <f t="shared" si="101"/>
        <v>0.47516556291390732</v>
      </c>
      <c r="AJ160" s="1256"/>
      <c r="AK160" s="253"/>
      <c r="AL160" s="1279"/>
      <c r="AM160" s="1258"/>
      <c r="AN160" s="220"/>
      <c r="AO160" s="1279"/>
      <c r="AP160" s="1258"/>
      <c r="AQ160" s="220"/>
      <c r="AR160" s="1279"/>
      <c r="AS160" s="1258"/>
      <c r="AT160" s="220"/>
      <c r="AU160" s="1279"/>
      <c r="AV160" s="1258"/>
      <c r="AW160" s="218"/>
      <c r="AX160" s="1275"/>
      <c r="AY160" s="252"/>
      <c r="AZ160" s="1279"/>
      <c r="BA160" s="1258"/>
      <c r="BB160" s="220"/>
      <c r="BC160" s="1279"/>
      <c r="BD160" s="1258"/>
      <c r="BE160" s="220"/>
      <c r="BF160" s="1279"/>
      <c r="BG160" s="1258"/>
      <c r="BH160" s="220"/>
      <c r="BI160" s="1279"/>
      <c r="BJ160" s="1258"/>
      <c r="BK160" s="218"/>
      <c r="BL160" s="1275"/>
      <c r="BN160" s="1279"/>
      <c r="BO160" s="1258"/>
      <c r="BP160" s="220"/>
      <c r="BQ160" s="1279"/>
      <c r="BR160" s="1258"/>
      <c r="BS160" s="220"/>
      <c r="BT160" s="1279"/>
      <c r="BU160" s="1258"/>
      <c r="BV160" s="220"/>
      <c r="BW160" s="1279"/>
      <c r="BX160" s="1258"/>
      <c r="BY160" s="218"/>
      <c r="BZ160" s="1275"/>
      <c r="CB160" s="1279"/>
      <c r="CC160" s="1258"/>
      <c r="CD160" s="220"/>
      <c r="CE160" s="1279"/>
      <c r="CF160" s="1258"/>
      <c r="CG160" s="220"/>
      <c r="CH160" s="1279"/>
      <c r="CI160" s="1258"/>
      <c r="CJ160" s="220"/>
      <c r="CK160" s="1279"/>
      <c r="CL160" s="1258"/>
      <c r="CM160" s="218"/>
      <c r="CN160" s="1275"/>
    </row>
    <row r="161" spans="2:92" ht="105" customHeight="1" x14ac:dyDescent="0.2">
      <c r="B161" s="1341"/>
      <c r="C161" s="1338"/>
      <c r="D161" s="1215"/>
      <c r="E161" s="1210"/>
      <c r="F161" s="1210"/>
      <c r="G161" s="335" t="str">
        <f>+'Plan de Accion apoyo transversa'!X32</f>
        <v>Respuestas a solicitudes de pruebas</v>
      </c>
      <c r="H161" s="231" t="str">
        <f>+'Plan de Accion apoyo transversa'!AK32</f>
        <v># Respuestas a solicitudes de pruebas en términos / # peticiones realizadas en término de contestación en el trimestre</v>
      </c>
      <c r="J161" s="230">
        <f>+'Plan de Accion apoyo transversa'!AT32</f>
        <v>0.25</v>
      </c>
      <c r="K161" s="503">
        <f>+'Plan de Accion apoyo transversa'!CE32</f>
        <v>1</v>
      </c>
      <c r="L161" s="503">
        <f>IF(K161&gt;100%,100%,K161)</f>
        <v>1</v>
      </c>
      <c r="M161" s="503">
        <f>+'Plan de Accion apoyo transversa'!AX32</f>
        <v>0.25</v>
      </c>
      <c r="N161" s="503">
        <f t="shared" si="89"/>
        <v>0.25</v>
      </c>
      <c r="O161" s="505">
        <f>+N161</f>
        <v>0.25</v>
      </c>
      <c r="P161" s="229"/>
      <c r="Q161" s="230">
        <f>+'Plan de Accion apoyo transversa'!BD32</f>
        <v>0.22222222222222221</v>
      </c>
      <c r="R161" s="266">
        <f>+'Plan de Accion apoyo transversa'!CG32</f>
        <v>0.88888888888888884</v>
      </c>
      <c r="S161" s="228">
        <f t="shared" si="102"/>
        <v>0.88888888888888884</v>
      </c>
      <c r="T161" s="324">
        <f>+'Plan de Accion apoyo transversa'!BH32</f>
        <v>0.47222222222222221</v>
      </c>
      <c r="U161" s="324">
        <f t="shared" si="98"/>
        <v>0.47222222222222221</v>
      </c>
      <c r="V161" s="227">
        <f t="shared" si="103"/>
        <v>0.47222222222222221</v>
      </c>
      <c r="W161" s="229"/>
      <c r="X161" s="230">
        <f>+'Plan de Accion apoyo transversa'!BN32</f>
        <v>0</v>
      </c>
      <c r="Y161" s="266">
        <f>+'Plan de Accion apoyo transversa'!CI32</f>
        <v>0</v>
      </c>
      <c r="Z161" s="228">
        <f>IF(Y161&gt;100%,100%,Y161)</f>
        <v>0</v>
      </c>
      <c r="AA161" s="233">
        <f>+'Plan de Accion apoyo transversa'!BR32</f>
        <v>0.47222222222222221</v>
      </c>
      <c r="AB161" s="233">
        <f t="shared" si="99"/>
        <v>0.47222222222222221</v>
      </c>
      <c r="AC161" s="232">
        <f t="shared" si="104"/>
        <v>0.47222222222222221</v>
      </c>
      <c r="AD161" s="229"/>
      <c r="AE161" s="230">
        <f>+'Plan de Accion apoyo transversa'!BX32</f>
        <v>0</v>
      </c>
      <c r="AF161" s="266">
        <f>+'Plan de Accion apoyo transversa'!CK32</f>
        <v>0</v>
      </c>
      <c r="AG161" s="228">
        <f t="shared" si="105"/>
        <v>0</v>
      </c>
      <c r="AH161" s="266">
        <f>+'Plan de Accion apoyo transversa'!CB32</f>
        <v>0.47222222222222221</v>
      </c>
      <c r="AI161" s="227">
        <f t="shared" si="101"/>
        <v>0.47222222222222221</v>
      </c>
      <c r="AJ161" s="1256"/>
      <c r="AK161" s="253"/>
      <c r="AL161" s="1279"/>
      <c r="AM161" s="1258"/>
      <c r="AN161" s="220"/>
      <c r="AO161" s="1279"/>
      <c r="AP161" s="1258"/>
      <c r="AQ161" s="220"/>
      <c r="AR161" s="1279"/>
      <c r="AS161" s="1258"/>
      <c r="AT161" s="220"/>
      <c r="AU161" s="1279"/>
      <c r="AV161" s="1258"/>
      <c r="AW161" s="218"/>
      <c r="AX161" s="1275"/>
      <c r="AY161" s="252"/>
      <c r="AZ161" s="1279"/>
      <c r="BA161" s="1258"/>
      <c r="BB161" s="220"/>
      <c r="BC161" s="1279"/>
      <c r="BD161" s="1258"/>
      <c r="BE161" s="220"/>
      <c r="BF161" s="1279"/>
      <c r="BG161" s="1258"/>
      <c r="BH161" s="220"/>
      <c r="BI161" s="1279"/>
      <c r="BJ161" s="1258"/>
      <c r="BK161" s="218"/>
      <c r="BL161" s="1275"/>
      <c r="BN161" s="1279"/>
      <c r="BO161" s="1258"/>
      <c r="BP161" s="220"/>
      <c r="BQ161" s="1279"/>
      <c r="BR161" s="1258"/>
      <c r="BS161" s="220"/>
      <c r="BT161" s="1279"/>
      <c r="BU161" s="1258"/>
      <c r="BV161" s="220"/>
      <c r="BW161" s="1279"/>
      <c r="BX161" s="1258"/>
      <c r="BY161" s="218"/>
      <c r="BZ161" s="1275"/>
      <c r="CB161" s="1279"/>
      <c r="CC161" s="1258"/>
      <c r="CD161" s="220"/>
      <c r="CE161" s="1279"/>
      <c r="CF161" s="1258"/>
      <c r="CG161" s="220"/>
      <c r="CH161" s="1279"/>
      <c r="CI161" s="1258"/>
      <c r="CJ161" s="220"/>
      <c r="CK161" s="1279"/>
      <c r="CL161" s="1258"/>
      <c r="CM161" s="218"/>
      <c r="CN161" s="1275"/>
    </row>
    <row r="162" spans="2:92" ht="105" customHeight="1" x14ac:dyDescent="0.2">
      <c r="B162" s="1341"/>
      <c r="C162" s="1338"/>
      <c r="D162" s="1215"/>
      <c r="E162" s="1210"/>
      <c r="F162" s="1210"/>
      <c r="G162" s="335" t="str">
        <f>+'Plan de Accion apoyo transversa'!X35</f>
        <v>Recurrir los Actos Administrativos interpuestos por COLPENSIONES</v>
      </c>
      <c r="H162" s="231" t="str">
        <f>+'Plan de Accion apoyo transversa'!AK35</f>
        <v># Recursos interpuestos oportunamente contra actos administrativos expedidos por Colpensiones / # Actos administrativos expedidos por Colpensiones notificados por aviso a la Entidad</v>
      </c>
      <c r="J162" s="230">
        <f>+'Plan de Accion apoyo transversa'!AT35</f>
        <v>0.25</v>
      </c>
      <c r="K162" s="503">
        <f>+'Plan de Accion apoyo transversa'!CE35</f>
        <v>1</v>
      </c>
      <c r="L162" s="503">
        <f>IF(K162&gt;100%,100%,K162)</f>
        <v>1</v>
      </c>
      <c r="M162" s="503">
        <f>+'Plan de Accion apoyo transversa'!AX35</f>
        <v>0.25</v>
      </c>
      <c r="N162" s="503">
        <f t="shared" si="89"/>
        <v>0.25</v>
      </c>
      <c r="O162" s="505">
        <f>+N162</f>
        <v>0.25</v>
      </c>
      <c r="P162" s="229"/>
      <c r="Q162" s="230" t="s">
        <v>204</v>
      </c>
      <c r="R162" s="266" t="s">
        <v>180</v>
      </c>
      <c r="S162" s="228" t="s">
        <v>204</v>
      </c>
      <c r="T162" s="760">
        <f>+'Plan de Accion apoyo transversa'!BH35</f>
        <v>0.25</v>
      </c>
      <c r="U162" s="760">
        <f t="shared" ref="U162" si="106">IF(T162&gt;100%,100%,T162)</f>
        <v>0.25</v>
      </c>
      <c r="V162" s="227">
        <f t="shared" ref="V162" si="107">+U162</f>
        <v>0.25</v>
      </c>
      <c r="W162" s="229"/>
      <c r="X162" s="230" t="s">
        <v>204</v>
      </c>
      <c r="Y162" s="266" t="s">
        <v>180</v>
      </c>
      <c r="Z162" s="228" t="s">
        <v>204</v>
      </c>
      <c r="AA162" s="233">
        <f>+'Plan de Accion apoyo transversa'!BR35</f>
        <v>0.25</v>
      </c>
      <c r="AB162" s="233">
        <f t="shared" ref="AB162" si="108">IF(AA162&gt;100%,100%,AA162)</f>
        <v>0.25</v>
      </c>
      <c r="AC162" s="232">
        <f t="shared" ref="AC162" si="109">+AB162</f>
        <v>0.25</v>
      </c>
      <c r="AD162" s="229"/>
      <c r="AE162" s="230" t="s">
        <v>204</v>
      </c>
      <c r="AF162" s="266" t="s">
        <v>180</v>
      </c>
      <c r="AG162" s="228" t="s">
        <v>204</v>
      </c>
      <c r="AH162" s="266">
        <f>+'Plan de Accion apoyo transversa'!CB35</f>
        <v>0.25</v>
      </c>
      <c r="AI162" s="227">
        <f t="shared" ref="AI162" si="110">IF(AH162&gt;100%,100%,AH162)</f>
        <v>0.25</v>
      </c>
      <c r="AJ162" s="1256"/>
      <c r="AK162" s="253"/>
      <c r="AL162" s="1279"/>
      <c r="AM162" s="1258"/>
      <c r="AN162" s="220"/>
      <c r="AO162" s="1279"/>
      <c r="AP162" s="1258"/>
      <c r="AQ162" s="220"/>
      <c r="AR162" s="1279"/>
      <c r="AS162" s="1258"/>
      <c r="AT162" s="220"/>
      <c r="AU162" s="1279"/>
      <c r="AV162" s="1258"/>
      <c r="AW162" s="218"/>
      <c r="AX162" s="1275"/>
      <c r="AY162" s="252"/>
      <c r="AZ162" s="1279"/>
      <c r="BA162" s="1258"/>
      <c r="BB162" s="220"/>
      <c r="BC162" s="1279"/>
      <c r="BD162" s="1258"/>
      <c r="BE162" s="220"/>
      <c r="BF162" s="1279"/>
      <c r="BG162" s="1258"/>
      <c r="BH162" s="220"/>
      <c r="BI162" s="1279"/>
      <c r="BJ162" s="1258"/>
      <c r="BK162" s="218"/>
      <c r="BL162" s="1275"/>
      <c r="BN162" s="1279"/>
      <c r="BO162" s="1258"/>
      <c r="BP162" s="220"/>
      <c r="BQ162" s="1279"/>
      <c r="BR162" s="1258"/>
      <c r="BS162" s="220"/>
      <c r="BT162" s="1279"/>
      <c r="BU162" s="1258"/>
      <c r="BV162" s="220"/>
      <c r="BW162" s="1279"/>
      <c r="BX162" s="1258"/>
      <c r="BY162" s="218"/>
      <c r="BZ162" s="1275"/>
      <c r="CB162" s="1279"/>
      <c r="CC162" s="1258"/>
      <c r="CD162" s="220"/>
      <c r="CE162" s="1279"/>
      <c r="CF162" s="1258"/>
      <c r="CG162" s="220"/>
      <c r="CH162" s="1279"/>
      <c r="CI162" s="1258"/>
      <c r="CJ162" s="220"/>
      <c r="CK162" s="1279"/>
      <c r="CL162" s="1258"/>
      <c r="CM162" s="218"/>
      <c r="CN162" s="1275"/>
    </row>
    <row r="163" spans="2:92" ht="105" customHeight="1" x14ac:dyDescent="0.2">
      <c r="B163" s="1341"/>
      <c r="C163" s="1338"/>
      <c r="D163" s="1215"/>
      <c r="E163" s="1210"/>
      <c r="F163" s="1210"/>
      <c r="G163" s="335" t="str">
        <f>+'Plan de Accion apoyo transversa'!X36</f>
        <v>Respuestas a reclamaciones</v>
      </c>
      <c r="H163" s="231" t="str">
        <f>+'Plan de Accion apoyo transversa'!AK36</f>
        <v># Respuestas a reclamaciones / # solicitudes de reclamación radicadas por las EPS en el mes anterior</v>
      </c>
      <c r="J163" s="230">
        <f>+'Plan de Accion apoyo transversa'!AT36</f>
        <v>0</v>
      </c>
      <c r="K163" s="503">
        <f>+'Plan de Accion apoyo transversa'!CE36</f>
        <v>0</v>
      </c>
      <c r="L163" s="503">
        <f>IF(K163&gt;100%,100%,K163)</f>
        <v>0</v>
      </c>
      <c r="M163" s="503">
        <f>+'Plan de Accion apoyo transversa'!AX36</f>
        <v>0</v>
      </c>
      <c r="N163" s="503">
        <f t="shared" si="89"/>
        <v>0</v>
      </c>
      <c r="O163" s="505">
        <f>+N163</f>
        <v>0</v>
      </c>
      <c r="P163" s="229"/>
      <c r="Q163" s="230" t="s">
        <v>204</v>
      </c>
      <c r="R163" s="266" t="s">
        <v>180</v>
      </c>
      <c r="S163" s="228" t="s">
        <v>204</v>
      </c>
      <c r="T163" s="760">
        <f>+'Plan de Accion apoyo transversa'!BH36</f>
        <v>0</v>
      </c>
      <c r="U163" s="760">
        <f t="shared" ref="U163" si="111">IF(T163&gt;100%,100%,T163)</f>
        <v>0</v>
      </c>
      <c r="V163" s="227">
        <f t="shared" ref="V163" si="112">+U163</f>
        <v>0</v>
      </c>
      <c r="W163" s="229"/>
      <c r="X163" s="230" t="s">
        <v>204</v>
      </c>
      <c r="Y163" s="266" t="s">
        <v>180</v>
      </c>
      <c r="Z163" s="228" t="s">
        <v>204</v>
      </c>
      <c r="AA163" s="233">
        <f>+'Plan de Accion apoyo transversa'!BR36</f>
        <v>0</v>
      </c>
      <c r="AB163" s="233">
        <f t="shared" ref="AB163" si="113">IF(AA163&gt;100%,100%,AA163)</f>
        <v>0</v>
      </c>
      <c r="AC163" s="232">
        <f t="shared" ref="AC163" si="114">+AB163</f>
        <v>0</v>
      </c>
      <c r="AD163" s="229"/>
      <c r="AE163" s="230" t="s">
        <v>204</v>
      </c>
      <c r="AF163" s="266" t="s">
        <v>180</v>
      </c>
      <c r="AG163" s="228" t="s">
        <v>204</v>
      </c>
      <c r="AH163" s="266">
        <f>+'Plan de Accion apoyo transversa'!CB36</f>
        <v>0</v>
      </c>
      <c r="AI163" s="227">
        <f t="shared" ref="AI163" si="115">IF(AH163&gt;100%,100%,AH163)</f>
        <v>0</v>
      </c>
      <c r="AJ163" s="1256"/>
      <c r="AK163" s="253"/>
      <c r="AL163" s="1279"/>
      <c r="AM163" s="1258"/>
      <c r="AN163" s="220"/>
      <c r="AO163" s="1279"/>
      <c r="AP163" s="1258"/>
      <c r="AQ163" s="220"/>
      <c r="AR163" s="1279"/>
      <c r="AS163" s="1258"/>
      <c r="AT163" s="220"/>
      <c r="AU163" s="1279"/>
      <c r="AV163" s="1258"/>
      <c r="AW163" s="218"/>
      <c r="AX163" s="1275"/>
      <c r="AY163" s="252"/>
      <c r="AZ163" s="1279"/>
      <c r="BA163" s="1258"/>
      <c r="BB163" s="220"/>
      <c r="BC163" s="1279"/>
      <c r="BD163" s="1258"/>
      <c r="BE163" s="220"/>
      <c r="BF163" s="1279"/>
      <c r="BG163" s="1258"/>
      <c r="BH163" s="220"/>
      <c r="BI163" s="1279"/>
      <c r="BJ163" s="1258"/>
      <c r="BK163" s="218"/>
      <c r="BL163" s="1275"/>
      <c r="BN163" s="1279"/>
      <c r="BO163" s="1258"/>
      <c r="BP163" s="220"/>
      <c r="BQ163" s="1279"/>
      <c r="BR163" s="1258"/>
      <c r="BS163" s="220"/>
      <c r="BT163" s="1279"/>
      <c r="BU163" s="1258"/>
      <c r="BV163" s="220"/>
      <c r="BW163" s="1279"/>
      <c r="BX163" s="1258"/>
      <c r="BY163" s="218"/>
      <c r="BZ163" s="1275"/>
      <c r="CB163" s="1279"/>
      <c r="CC163" s="1258"/>
      <c r="CD163" s="220"/>
      <c r="CE163" s="1279"/>
      <c r="CF163" s="1258"/>
      <c r="CG163" s="220"/>
      <c r="CH163" s="1279"/>
      <c r="CI163" s="1258"/>
      <c r="CJ163" s="220"/>
      <c r="CK163" s="1279"/>
      <c r="CL163" s="1258"/>
      <c r="CM163" s="218"/>
      <c r="CN163" s="1275"/>
    </row>
    <row r="164" spans="2:92" ht="105" customHeight="1" x14ac:dyDescent="0.2">
      <c r="B164" s="1341"/>
      <c r="C164" s="1339"/>
      <c r="D164" s="1216"/>
      <c r="E164" s="1203"/>
      <c r="F164" s="1203"/>
      <c r="G164" s="335" t="str">
        <f>+'Plan de Accion apoyo transversa'!X41</f>
        <v xml:space="preserve">Atender las solicitudes de informes derivadas de acciones constitucionales </v>
      </c>
      <c r="H164" s="231" t="str">
        <f>+'Plan de Accion apoyo transversa'!AK41</f>
        <v># Acciones constitucionales tramitadas Oportunamente / # Acciones constitucionales  radicadas que requieren Trámite</v>
      </c>
      <c r="J164" s="230">
        <f>+'Plan de Accion apoyo transversa'!AT41</f>
        <v>0.24055225317968984</v>
      </c>
      <c r="K164" s="503">
        <f>+'Plan de Accion apoyo transversa'!CE41</f>
        <v>0.96220901271875936</v>
      </c>
      <c r="L164" s="503">
        <f>IF(K164&gt;100%,100%,K164)</f>
        <v>0.96220901271875936</v>
      </c>
      <c r="M164" s="503">
        <f>+'Plan de Accion apoyo transversa'!AX41</f>
        <v>0.24055225317968984</v>
      </c>
      <c r="N164" s="503">
        <f t="shared" si="89"/>
        <v>0.24055225317968984</v>
      </c>
      <c r="O164" s="505">
        <f>+N164</f>
        <v>0.24055225317968984</v>
      </c>
      <c r="P164" s="229"/>
      <c r="Q164" s="230">
        <f>+'Plan de Accion apoyo transversa'!BD41</f>
        <v>0.24979947119812246</v>
      </c>
      <c r="R164" s="266">
        <f>+'Plan de Accion apoyo transversa'!CG41</f>
        <v>0.99919788479248983</v>
      </c>
      <c r="S164" s="228">
        <f t="shared" si="102"/>
        <v>0.99919788479248983</v>
      </c>
      <c r="T164" s="324">
        <f>+'Plan de Accion apoyo transversa'!BH41</f>
        <v>0.49035172437781227</v>
      </c>
      <c r="U164" s="324">
        <f t="shared" si="98"/>
        <v>0.49035172437781227</v>
      </c>
      <c r="V164" s="227">
        <f t="shared" si="103"/>
        <v>0.49035172437781227</v>
      </c>
      <c r="W164" s="229"/>
      <c r="X164" s="230">
        <f>+'Plan de Accion apoyo transversa'!BN41</f>
        <v>0</v>
      </c>
      <c r="Y164" s="266">
        <f>+'Plan de Accion apoyo transversa'!CI41</f>
        <v>0</v>
      </c>
      <c r="Z164" s="228">
        <f>IF(Y164&gt;100%,100%,Y164)</f>
        <v>0</v>
      </c>
      <c r="AA164" s="233">
        <f>+'Plan de Accion apoyo transversa'!BR41</f>
        <v>0.49035172437781227</v>
      </c>
      <c r="AB164" s="233">
        <f t="shared" si="99"/>
        <v>0.49035172437781227</v>
      </c>
      <c r="AC164" s="232">
        <f t="shared" si="104"/>
        <v>0.49035172437781227</v>
      </c>
      <c r="AD164" s="229"/>
      <c r="AE164" s="230">
        <f>+'Plan de Accion apoyo transversa'!BX41</f>
        <v>0</v>
      </c>
      <c r="AF164" s="266">
        <f>+'Plan de Accion apoyo transversa'!CK41</f>
        <v>0</v>
      </c>
      <c r="AG164" s="228">
        <f t="shared" si="105"/>
        <v>0</v>
      </c>
      <c r="AH164" s="266">
        <f>+'Plan de Accion apoyo transversa'!CB41</f>
        <v>0.49035172437781227</v>
      </c>
      <c r="AI164" s="227">
        <f t="shared" si="101"/>
        <v>0.49035172437781227</v>
      </c>
      <c r="AJ164" s="1256"/>
      <c r="AK164" s="253"/>
      <c r="AL164" s="1279"/>
      <c r="AM164" s="1258"/>
      <c r="AN164" s="220"/>
      <c r="AO164" s="1279"/>
      <c r="AP164" s="1258"/>
      <c r="AQ164" s="220"/>
      <c r="AR164" s="1279"/>
      <c r="AS164" s="1258"/>
      <c r="AT164" s="220"/>
      <c r="AU164" s="1279"/>
      <c r="AV164" s="1258"/>
      <c r="AW164" s="218"/>
      <c r="AX164" s="1275"/>
      <c r="AY164" s="252"/>
      <c r="AZ164" s="1279"/>
      <c r="BA164" s="1258"/>
      <c r="BB164" s="220"/>
      <c r="BC164" s="1279"/>
      <c r="BD164" s="1258"/>
      <c r="BE164" s="220"/>
      <c r="BF164" s="1279"/>
      <c r="BG164" s="1258"/>
      <c r="BH164" s="220"/>
      <c r="BI164" s="1279"/>
      <c r="BJ164" s="1258"/>
      <c r="BK164" s="218"/>
      <c r="BL164" s="1275"/>
      <c r="BN164" s="1279"/>
      <c r="BO164" s="1258"/>
      <c r="BP164" s="220"/>
      <c r="BQ164" s="1279"/>
      <c r="BR164" s="1258"/>
      <c r="BS164" s="220"/>
      <c r="BT164" s="1279"/>
      <c r="BU164" s="1258"/>
      <c r="BV164" s="220"/>
      <c r="BW164" s="1279"/>
      <c r="BX164" s="1258"/>
      <c r="BY164" s="218"/>
      <c r="BZ164" s="1275"/>
      <c r="CB164" s="1279"/>
      <c r="CC164" s="1258"/>
      <c r="CD164" s="220"/>
      <c r="CE164" s="1279"/>
      <c r="CF164" s="1258"/>
      <c r="CG164" s="220"/>
      <c r="CH164" s="1279"/>
      <c r="CI164" s="1258"/>
      <c r="CJ164" s="220"/>
      <c r="CK164" s="1279"/>
      <c r="CL164" s="1258"/>
      <c r="CM164" s="218"/>
      <c r="CN164" s="1275"/>
    </row>
    <row r="165" spans="2:92" ht="100.5" customHeight="1" thickBot="1" x14ac:dyDescent="0.25">
      <c r="B165" s="1341"/>
      <c r="C165" s="1230" t="s">
        <v>94</v>
      </c>
      <c r="D165" s="1264" t="s">
        <v>204</v>
      </c>
      <c r="E165" s="1211" t="s">
        <v>1</v>
      </c>
      <c r="F165" s="1202" t="s">
        <v>330</v>
      </c>
      <c r="G165" s="335" t="str">
        <f>+'Plan de Accion apoyo transversa'!X9</f>
        <v>Anexos técnicos para el diseño, desarrollo e implementación del sitio web de la ADRES.</v>
      </c>
      <c r="H165" s="231" t="str">
        <f>+'Plan de Accion apoyo transversa'!AK9</f>
        <v># Anexos técnicos para el diseño, desarrollo e implementación del sitio web de la ADRES.</v>
      </c>
      <c r="J165" s="234">
        <f>+'Plan de Accion apoyo transversa'!AT9</f>
        <v>0</v>
      </c>
      <c r="K165" s="503" t="str">
        <f>+'Plan de Accion apoyo transversa'!CE9</f>
        <v>No Prog ni Ejec</v>
      </c>
      <c r="L165" s="503" t="s">
        <v>204</v>
      </c>
      <c r="M165" s="503">
        <f>+'Plan de Accion apoyo transversa'!AX9</f>
        <v>0</v>
      </c>
      <c r="N165" s="503">
        <f t="shared" si="89"/>
        <v>0</v>
      </c>
      <c r="O165" s="505" t="s">
        <v>204</v>
      </c>
      <c r="P165" s="229"/>
      <c r="Q165" s="234">
        <f>+'Plan de Accion apoyo transversa'!BD9</f>
        <v>0</v>
      </c>
      <c r="R165" s="266" t="str">
        <f>+'Plan de Accion apoyo transversa'!CG9</f>
        <v>No Prog ni Ejec</v>
      </c>
      <c r="S165" s="228" t="s">
        <v>204</v>
      </c>
      <c r="T165" s="324">
        <f>+'Plan de Accion apoyo transversa'!BH9</f>
        <v>0</v>
      </c>
      <c r="U165" s="324">
        <f t="shared" si="98"/>
        <v>0</v>
      </c>
      <c r="V165" s="227" t="s">
        <v>204</v>
      </c>
      <c r="W165" s="229"/>
      <c r="X165" s="234">
        <f>+'Plan de Accion apoyo transversa'!BN9</f>
        <v>0</v>
      </c>
      <c r="Y165" s="266" t="str">
        <f>+'Plan de Accion apoyo transversa'!CI9</f>
        <v>No Prog ni Ejec</v>
      </c>
      <c r="Z165" s="228" t="s">
        <v>204</v>
      </c>
      <c r="AA165" s="233">
        <f>+'Plan de Accion apoyo transversa'!BR9</f>
        <v>0</v>
      </c>
      <c r="AB165" s="233">
        <f t="shared" si="99"/>
        <v>0</v>
      </c>
      <c r="AC165" s="322" t="s">
        <v>204</v>
      </c>
      <c r="AD165" s="229"/>
      <c r="AE165" s="235">
        <f>+'Plan de Accion apoyo transversa'!BX9</f>
        <v>0</v>
      </c>
      <c r="AF165" s="266">
        <f>+'Plan de Accion apoyo transversa'!CK9</f>
        <v>0</v>
      </c>
      <c r="AG165" s="228">
        <f t="shared" si="105"/>
        <v>0</v>
      </c>
      <c r="AH165" s="266">
        <f>+'Plan de Accion apoyo transversa'!CB9</f>
        <v>0</v>
      </c>
      <c r="AI165" s="227">
        <f t="shared" si="101"/>
        <v>0</v>
      </c>
      <c r="AJ165" s="1257"/>
      <c r="AK165" s="253"/>
      <c r="AL165" s="1280"/>
      <c r="AM165" s="1259"/>
      <c r="AN165" s="220"/>
      <c r="AO165" s="1280"/>
      <c r="AP165" s="1259"/>
      <c r="AQ165" s="220"/>
      <c r="AR165" s="1280"/>
      <c r="AS165" s="1259"/>
      <c r="AT165" s="220"/>
      <c r="AU165" s="1280"/>
      <c r="AV165" s="1259"/>
      <c r="AW165" s="218"/>
      <c r="AX165" s="1276"/>
      <c r="AY165" s="252"/>
      <c r="AZ165" s="1280"/>
      <c r="BA165" s="1259"/>
      <c r="BB165" s="220"/>
      <c r="BC165" s="1280"/>
      <c r="BD165" s="1259"/>
      <c r="BE165" s="220"/>
      <c r="BF165" s="1280"/>
      <c r="BG165" s="1259"/>
      <c r="BH165" s="220"/>
      <c r="BI165" s="1280"/>
      <c r="BJ165" s="1259"/>
      <c r="BK165" s="218"/>
      <c r="BL165" s="1276"/>
      <c r="BN165" s="1280"/>
      <c r="BO165" s="1259"/>
      <c r="BP165" s="220"/>
      <c r="BQ165" s="1280"/>
      <c r="BR165" s="1259"/>
      <c r="BS165" s="220"/>
      <c r="BT165" s="1280"/>
      <c r="BU165" s="1259"/>
      <c r="BV165" s="220"/>
      <c r="BW165" s="1280"/>
      <c r="BX165" s="1259"/>
      <c r="BY165" s="218"/>
      <c r="BZ165" s="1276"/>
      <c r="CB165" s="1280"/>
      <c r="CC165" s="1259"/>
      <c r="CD165" s="220"/>
      <c r="CE165" s="1280"/>
      <c r="CF165" s="1259"/>
      <c r="CG165" s="220"/>
      <c r="CH165" s="1280"/>
      <c r="CI165" s="1259"/>
      <c r="CJ165" s="220"/>
      <c r="CK165" s="1280"/>
      <c r="CL165" s="1259"/>
      <c r="CM165" s="218"/>
      <c r="CN165" s="1276"/>
    </row>
    <row r="166" spans="2:92" ht="100.5" customHeight="1" x14ac:dyDescent="0.2">
      <c r="B166" s="1341"/>
      <c r="C166" s="1231"/>
      <c r="D166" s="1265"/>
      <c r="E166" s="1212"/>
      <c r="F166" s="1210"/>
      <c r="G166" s="585" t="str">
        <f>+'Plan de Accion apoyo transversa'!X183</f>
        <v>Política de comunicaciones de la ADRES aprobada por el comité de Gestión y Desempeño.</v>
      </c>
      <c r="H166" s="231" t="str">
        <f>+'Plan de Accion apoyo transversa'!AK183</f>
        <v># Documentos de política de comunicaciones de la ADRES aprobados y socializados con los funcionarios de la entidad.</v>
      </c>
      <c r="J166" s="234">
        <f>+'Plan de Accion apoyo transversa'!AT183</f>
        <v>0</v>
      </c>
      <c r="K166" s="579" t="str">
        <f>+'Plan de Accion apoyo transversa'!CE183</f>
        <v>No Prog ni Ejec</v>
      </c>
      <c r="L166" s="579" t="s">
        <v>204</v>
      </c>
      <c r="M166" s="579">
        <f>+'Plan de Accion apoyo transversa'!AX183</f>
        <v>0</v>
      </c>
      <c r="N166" s="579">
        <f t="shared" ref="N166" si="116">IF(M166&gt;100%,100%,M166)</f>
        <v>0</v>
      </c>
      <c r="O166" s="581" t="s">
        <v>204</v>
      </c>
      <c r="P166" s="229"/>
      <c r="Q166" s="234">
        <f>+'Plan de Accion apoyo transversa'!BD183</f>
        <v>0</v>
      </c>
      <c r="R166" s="266" t="str">
        <f>+'Plan de Accion apoyo transversa'!CG183</f>
        <v>No Prog ni Ejec</v>
      </c>
      <c r="S166" s="228" t="s">
        <v>204</v>
      </c>
      <c r="T166" s="579">
        <f>+'Plan de Accion apoyo transversa'!BH183</f>
        <v>0</v>
      </c>
      <c r="U166" s="579">
        <f t="shared" ref="U166" si="117">IF(T166&gt;100%,100%,T166)</f>
        <v>0</v>
      </c>
      <c r="V166" s="227" t="s">
        <v>204</v>
      </c>
      <c r="W166" s="229"/>
      <c r="X166" s="234">
        <f>+'Plan de Accion apoyo transversa'!BN183</f>
        <v>0</v>
      </c>
      <c r="Y166" s="266" t="str">
        <f>+'Plan de Accion apoyo transversa'!CI183</f>
        <v>No Prog ni Ejec</v>
      </c>
      <c r="Z166" s="228" t="s">
        <v>204</v>
      </c>
      <c r="AA166" s="233">
        <f>+'Plan de Accion apoyo transversa'!BR183</f>
        <v>0</v>
      </c>
      <c r="AB166" s="233">
        <f t="shared" ref="AB166" si="118">IF(AA166&gt;100%,100%,AA166)</f>
        <v>0</v>
      </c>
      <c r="AC166" s="583" t="s">
        <v>204</v>
      </c>
      <c r="AD166" s="229"/>
      <c r="AE166" s="235">
        <f>+'Plan de Accion apoyo transversa'!BX183</f>
        <v>0</v>
      </c>
      <c r="AF166" s="266">
        <f>+'Plan de Accion apoyo transversa'!CK183</f>
        <v>0</v>
      </c>
      <c r="AG166" s="228">
        <f t="shared" ref="AG166" si="119">IF(AF166&gt;100%,100%,AF166)</f>
        <v>0</v>
      </c>
      <c r="AH166" s="266">
        <f>+'Plan de Accion apoyo transversa'!CB183</f>
        <v>0</v>
      </c>
      <c r="AI166" s="227">
        <f t="shared" ref="AI166" si="120">IF(AH166&gt;100%,100%,AH166)</f>
        <v>0</v>
      </c>
      <c r="AJ166" s="588"/>
      <c r="AK166" s="253"/>
      <c r="AL166" s="590"/>
      <c r="AM166" s="586"/>
      <c r="AN166" s="220"/>
      <c r="AO166" s="256"/>
      <c r="AP166" s="586"/>
      <c r="AQ166" s="220"/>
      <c r="AR166" s="590"/>
      <c r="AS166" s="586"/>
      <c r="AT166" s="220"/>
      <c r="AU166" s="590"/>
      <c r="AV166" s="586"/>
      <c r="AW166" s="218"/>
      <c r="AX166" s="587"/>
      <c r="AY166" s="252"/>
      <c r="AZ166" s="590"/>
      <c r="BA166" s="586"/>
      <c r="BB166" s="220"/>
      <c r="BC166" s="256"/>
      <c r="BD166" s="586"/>
      <c r="BE166" s="220"/>
      <c r="BF166" s="590"/>
      <c r="BG166" s="586"/>
      <c r="BH166" s="220"/>
      <c r="BI166" s="590"/>
      <c r="BJ166" s="586"/>
      <c r="BK166" s="218"/>
      <c r="BL166" s="587"/>
      <c r="BN166" s="590"/>
      <c r="BO166" s="586"/>
      <c r="BP166" s="220"/>
      <c r="BQ166" s="256"/>
      <c r="BR166" s="586"/>
      <c r="BS166" s="220"/>
      <c r="BT166" s="590"/>
      <c r="BU166" s="586"/>
      <c r="BV166" s="220"/>
      <c r="BW166" s="590"/>
      <c r="BX166" s="586"/>
      <c r="BY166" s="218"/>
      <c r="BZ166" s="587"/>
      <c r="CB166" s="590"/>
      <c r="CC166" s="586"/>
      <c r="CD166" s="220"/>
      <c r="CE166" s="256"/>
      <c r="CF166" s="586"/>
      <c r="CG166" s="220"/>
      <c r="CH166" s="590"/>
      <c r="CI166" s="586"/>
      <c r="CJ166" s="220"/>
      <c r="CK166" s="590"/>
      <c r="CL166" s="586"/>
      <c r="CM166" s="218"/>
      <c r="CN166" s="587"/>
    </row>
    <row r="167" spans="2:92" ht="100.5" customHeight="1" x14ac:dyDescent="0.2">
      <c r="B167" s="1341"/>
      <c r="C167" s="1231"/>
      <c r="D167" s="1265"/>
      <c r="E167" s="1212"/>
      <c r="F167" s="1203"/>
      <c r="G167" s="585" t="str">
        <f>+'Plan de Accion apoyo transversa'!X184</f>
        <v>Estrategia de pedagogía externa sobre el flujo de recursos del sistema de salud que es administrado por la ADRES</v>
      </c>
      <c r="H167" s="231" t="str">
        <f>+'Plan de Accion apoyo transversa'!AK184</f>
        <v># de jornadas pedagógicas con actores externos del sistema de salud.</v>
      </c>
      <c r="J167" s="234">
        <f>+'Plan de Accion apoyo transversa'!AT184</f>
        <v>0</v>
      </c>
      <c r="K167" s="579" t="str">
        <f>+'Plan de Accion apoyo transversa'!CE184</f>
        <v>No Prog ni Ejec</v>
      </c>
      <c r="L167" s="579" t="s">
        <v>204</v>
      </c>
      <c r="M167" s="579">
        <f>+'Plan de Accion apoyo transversa'!AX184</f>
        <v>0</v>
      </c>
      <c r="N167" s="579">
        <f t="shared" ref="N167" si="121">IF(M167&gt;100%,100%,M167)</f>
        <v>0</v>
      </c>
      <c r="O167" s="581" t="s">
        <v>204</v>
      </c>
      <c r="P167" s="229"/>
      <c r="Q167" s="234">
        <f>+'Plan de Accion apoyo transversa'!BD184</f>
        <v>2</v>
      </c>
      <c r="R167" s="266">
        <f>+'Plan de Accion apoyo transversa'!CG184</f>
        <v>2</v>
      </c>
      <c r="S167" s="228">
        <f t="shared" ref="S167" si="122">IF(R167&gt;100%,100%,R167)</f>
        <v>1</v>
      </c>
      <c r="T167" s="579">
        <f>+'Plan de Accion apoyo transversa'!BH184</f>
        <v>0.66666666666666663</v>
      </c>
      <c r="U167" s="579">
        <f t="shared" ref="U167" si="123">IF(T167&gt;100%,100%,T167)</f>
        <v>0.66666666666666663</v>
      </c>
      <c r="V167" s="227">
        <f t="shared" ref="V167" si="124">+U167</f>
        <v>0.66666666666666663</v>
      </c>
      <c r="W167" s="229"/>
      <c r="X167" s="234">
        <f>+'Plan de Accion apoyo transversa'!BN184</f>
        <v>0</v>
      </c>
      <c r="Y167" s="266">
        <f>+'Plan de Accion apoyo transversa'!CI184</f>
        <v>0</v>
      </c>
      <c r="Z167" s="228" t="s">
        <v>204</v>
      </c>
      <c r="AA167" s="233">
        <f>+'Plan de Accion apoyo transversa'!BR184</f>
        <v>0.66666666666666663</v>
      </c>
      <c r="AB167" s="233">
        <f t="shared" ref="AB167" si="125">IF(AA167&gt;100%,100%,AA167)</f>
        <v>0.66666666666666663</v>
      </c>
      <c r="AC167" s="583" t="s">
        <v>204</v>
      </c>
      <c r="AD167" s="229"/>
      <c r="AE167" s="235">
        <f>+'Plan de Accion apoyo transversa'!BX184</f>
        <v>0</v>
      </c>
      <c r="AF167" s="266">
        <f>+'Plan de Accion apoyo transversa'!CK184</f>
        <v>0</v>
      </c>
      <c r="AG167" s="228">
        <f t="shared" ref="AG167" si="126">IF(AF167&gt;100%,100%,AF167)</f>
        <v>0</v>
      </c>
      <c r="AH167" s="266">
        <f>+'Plan de Accion apoyo transversa'!CB184</f>
        <v>0.66666666666666663</v>
      </c>
      <c r="AI167" s="227">
        <f t="shared" ref="AI167" si="127">IF(AH167&gt;100%,100%,AH167)</f>
        <v>0.66666666666666663</v>
      </c>
      <c r="AJ167" s="588"/>
      <c r="AK167" s="253"/>
      <c r="AL167" s="590"/>
      <c r="AM167" s="586"/>
      <c r="AN167" s="220"/>
      <c r="AO167" s="256"/>
      <c r="AP167" s="586"/>
      <c r="AQ167" s="220"/>
      <c r="AR167" s="590"/>
      <c r="AS167" s="586"/>
      <c r="AT167" s="220"/>
      <c r="AU167" s="590"/>
      <c r="AV167" s="586"/>
      <c r="AW167" s="218"/>
      <c r="AX167" s="587"/>
      <c r="AY167" s="252"/>
      <c r="AZ167" s="590"/>
      <c r="BA167" s="586"/>
      <c r="BB167" s="220"/>
      <c r="BC167" s="256"/>
      <c r="BD167" s="586"/>
      <c r="BE167" s="220"/>
      <c r="BF167" s="590"/>
      <c r="BG167" s="586"/>
      <c r="BH167" s="220"/>
      <c r="BI167" s="590"/>
      <c r="BJ167" s="586"/>
      <c r="BK167" s="218"/>
      <c r="BL167" s="587"/>
      <c r="BN167" s="590"/>
      <c r="BO167" s="586"/>
      <c r="BP167" s="220"/>
      <c r="BQ167" s="256"/>
      <c r="BR167" s="586"/>
      <c r="BS167" s="220"/>
      <c r="BT167" s="590"/>
      <c r="BU167" s="586"/>
      <c r="BV167" s="220"/>
      <c r="BW167" s="590"/>
      <c r="BX167" s="586"/>
      <c r="BY167" s="218"/>
      <c r="BZ167" s="587"/>
      <c r="CB167" s="590"/>
      <c r="CC167" s="586"/>
      <c r="CD167" s="220"/>
      <c r="CE167" s="256"/>
      <c r="CF167" s="586"/>
      <c r="CG167" s="220"/>
      <c r="CH167" s="590"/>
      <c r="CI167" s="586"/>
      <c r="CJ167" s="220"/>
      <c r="CK167" s="590"/>
      <c r="CL167" s="586"/>
      <c r="CM167" s="218"/>
      <c r="CN167" s="587"/>
    </row>
    <row r="168" spans="2:92" ht="42.75" x14ac:dyDescent="0.2">
      <c r="B168" s="1341"/>
      <c r="C168" s="1231"/>
      <c r="D168" s="1265"/>
      <c r="E168" s="1212"/>
      <c r="F168" s="1202" t="s">
        <v>336</v>
      </c>
      <c r="G168" s="335" t="str">
        <f>+'Plan de Accion apoyo transversa'!X14</f>
        <v>Informe de audiencia pública de rendición de cuentas</v>
      </c>
      <c r="H168" s="231" t="str">
        <f>+'Plan de Accion apoyo transversa'!AK14</f>
        <v># Informes e audiencia pública de rendición de cuentas</v>
      </c>
      <c r="J168" s="234">
        <f>+'Plan de Accion apoyo transversa'!AT14</f>
        <v>0</v>
      </c>
      <c r="K168" s="503" t="str">
        <f>+'Plan de Accion apoyo transversa'!CE14</f>
        <v>No Prog ni Ejec</v>
      </c>
      <c r="L168" s="503" t="s">
        <v>204</v>
      </c>
      <c r="M168" s="503">
        <f>+'Plan de Accion apoyo transversa'!AX14</f>
        <v>0</v>
      </c>
      <c r="N168" s="503">
        <f t="shared" si="89"/>
        <v>0</v>
      </c>
      <c r="O168" s="505" t="s">
        <v>204</v>
      </c>
      <c r="P168" s="229"/>
      <c r="Q168" s="234">
        <f>+'Plan de Accion apoyo transversa'!BD14</f>
        <v>0</v>
      </c>
      <c r="R168" s="266" t="str">
        <f>+'Plan de Accion apoyo transversa'!CG14</f>
        <v>No Prog ni Ejec</v>
      </c>
      <c r="S168" s="228" t="s">
        <v>204</v>
      </c>
      <c r="T168" s="324">
        <f>+'Plan de Accion apoyo transversa'!BH14</f>
        <v>0</v>
      </c>
      <c r="U168" s="324">
        <f t="shared" ref="U168:U175" si="128">IF(T168&gt;100%,100%,T168)</f>
        <v>0</v>
      </c>
      <c r="V168" s="227" t="s">
        <v>204</v>
      </c>
      <c r="W168" s="229"/>
      <c r="X168" s="234">
        <f>+'Plan de Accion apoyo transversa'!BN14</f>
        <v>0</v>
      </c>
      <c r="Y168" s="266">
        <f>+'Plan de Accion apoyo transversa'!CI14</f>
        <v>0</v>
      </c>
      <c r="Z168" s="228">
        <f t="shared" ref="Z168:Z175" si="129">IF(Y168&gt;100%,100%,Y168)</f>
        <v>0</v>
      </c>
      <c r="AA168" s="233">
        <f>+'Plan de Accion apoyo transversa'!BR14</f>
        <v>0</v>
      </c>
      <c r="AB168" s="233">
        <f t="shared" ref="AB168:AB175" si="130">IF(AA168&gt;100%,100%,AA168)</f>
        <v>0</v>
      </c>
      <c r="AC168" s="232">
        <f t="shared" ref="AC168:AC175" si="131">+AB168</f>
        <v>0</v>
      </c>
      <c r="AD168" s="229"/>
      <c r="AE168" s="235">
        <f>+'Plan de Accion apoyo transversa'!BX14</f>
        <v>0</v>
      </c>
      <c r="AF168" s="266" t="str">
        <f>+'Plan de Accion apoyo transversa'!CK14</f>
        <v>No Prog ni Ejec</v>
      </c>
      <c r="AG168" s="228" t="s">
        <v>204</v>
      </c>
      <c r="AH168" s="266">
        <f>+'Plan de Accion apoyo transversa'!CB14</f>
        <v>0</v>
      </c>
      <c r="AI168" s="227">
        <f t="shared" ref="AI168:AI175" si="132">IF(AH168&gt;100%,100%,AH168)</f>
        <v>0</v>
      </c>
      <c r="AJ168" s="226"/>
      <c r="AK168" s="253"/>
      <c r="AL168" s="255"/>
      <c r="AM168" s="223"/>
      <c r="AN168" s="220"/>
      <c r="AO168" s="256"/>
      <c r="AP168" s="223"/>
      <c r="AQ168" s="220"/>
      <c r="AR168" s="255"/>
      <c r="AS168" s="223"/>
      <c r="AT168" s="220"/>
      <c r="AU168" s="255"/>
      <c r="AV168" s="223"/>
      <c r="AW168" s="218"/>
      <c r="AX168" s="222"/>
      <c r="AY168" s="252"/>
      <c r="AZ168" s="255"/>
      <c r="BA168" s="223"/>
      <c r="BB168" s="220"/>
      <c r="BC168" s="256"/>
      <c r="BD168" s="223"/>
      <c r="BE168" s="220"/>
      <c r="BF168" s="255"/>
      <c r="BG168" s="223"/>
      <c r="BH168" s="220"/>
      <c r="BI168" s="255"/>
      <c r="BJ168" s="223"/>
      <c r="BK168" s="218"/>
      <c r="BL168" s="222"/>
      <c r="BN168" s="255"/>
      <c r="BO168" s="223"/>
      <c r="BP168" s="220"/>
      <c r="BQ168" s="256"/>
      <c r="BR168" s="223"/>
      <c r="BS168" s="220"/>
      <c r="BT168" s="255"/>
      <c r="BU168" s="223"/>
      <c r="BV168" s="220"/>
      <c r="BW168" s="255"/>
      <c r="BX168" s="223"/>
      <c r="BY168" s="218"/>
      <c r="BZ168" s="222"/>
      <c r="CB168" s="255"/>
      <c r="CC168" s="223"/>
      <c r="CD168" s="220"/>
      <c r="CE168" s="256"/>
      <c r="CF168" s="223"/>
      <c r="CG168" s="220"/>
      <c r="CH168" s="255"/>
      <c r="CI168" s="223"/>
      <c r="CJ168" s="220"/>
      <c r="CK168" s="255"/>
      <c r="CL168" s="223"/>
      <c r="CM168" s="218"/>
      <c r="CN168" s="222"/>
    </row>
    <row r="169" spans="2:92" ht="42.75" customHeight="1" x14ac:dyDescent="0.2">
      <c r="B169" s="1341"/>
      <c r="C169" s="1231"/>
      <c r="D169" s="1265"/>
      <c r="E169" s="1212"/>
      <c r="F169" s="1210"/>
      <c r="G169" s="335" t="str">
        <f>+'Plan de Accion apoyo transversa'!X15</f>
        <v>Campaña interna de sensibilización sobre la importancia de la Rendición de Cuentas.</v>
      </c>
      <c r="H169" s="231" t="str">
        <f>+'Plan de Accion apoyo transversa'!AK15</f>
        <v># Campañas internas de sensibilización sobre la importancia de la Rendición de Cuentas.</v>
      </c>
      <c r="J169" s="234">
        <f>+'Plan de Accion apoyo transversa'!AT15</f>
        <v>0</v>
      </c>
      <c r="K169" s="503" t="str">
        <f>+'Plan de Accion apoyo transversa'!CE15</f>
        <v>No Prog ni Ejec</v>
      </c>
      <c r="L169" s="503" t="s">
        <v>204</v>
      </c>
      <c r="M169" s="503">
        <f>+'Plan de Accion apoyo transversa'!AX15</f>
        <v>0</v>
      </c>
      <c r="N169" s="503">
        <f t="shared" si="89"/>
        <v>0</v>
      </c>
      <c r="O169" s="505" t="s">
        <v>204</v>
      </c>
      <c r="P169" s="229"/>
      <c r="Q169" s="234">
        <f>+'Plan de Accion apoyo transversa'!BD15</f>
        <v>0</v>
      </c>
      <c r="R169" s="266" t="str">
        <f>+'Plan de Accion apoyo transversa'!CG15</f>
        <v>No Prog ni Ejec</v>
      </c>
      <c r="S169" s="228" t="s">
        <v>204</v>
      </c>
      <c r="T169" s="324">
        <f>+'Plan de Accion apoyo transversa'!BH15</f>
        <v>0</v>
      </c>
      <c r="U169" s="324">
        <f t="shared" si="128"/>
        <v>0</v>
      </c>
      <c r="V169" s="227" t="s">
        <v>204</v>
      </c>
      <c r="W169" s="229"/>
      <c r="X169" s="234">
        <f>+'Plan de Accion apoyo transversa'!BN15</f>
        <v>0</v>
      </c>
      <c r="Y169" s="266">
        <f>+'Plan de Accion apoyo transversa'!CI15</f>
        <v>0</v>
      </c>
      <c r="Z169" s="228">
        <f t="shared" si="129"/>
        <v>0</v>
      </c>
      <c r="AA169" s="233">
        <f>+'Plan de Accion apoyo transversa'!BR15</f>
        <v>0</v>
      </c>
      <c r="AB169" s="233">
        <f t="shared" si="130"/>
        <v>0</v>
      </c>
      <c r="AC169" s="232">
        <f t="shared" si="131"/>
        <v>0</v>
      </c>
      <c r="AD169" s="229"/>
      <c r="AE169" s="235">
        <f>+'Plan de Accion apoyo transversa'!BX15</f>
        <v>0</v>
      </c>
      <c r="AF169" s="266" t="str">
        <f>+'Plan de Accion apoyo transversa'!CK15</f>
        <v>No Prog ni Ejec</v>
      </c>
      <c r="AG169" s="228" t="s">
        <v>204</v>
      </c>
      <c r="AH169" s="266">
        <f>+'Plan de Accion apoyo transversa'!CB15</f>
        <v>0</v>
      </c>
      <c r="AI169" s="227">
        <f t="shared" si="132"/>
        <v>0</v>
      </c>
      <c r="AJ169" s="226"/>
      <c r="AK169" s="253"/>
      <c r="AL169" s="255"/>
      <c r="AM169" s="223"/>
      <c r="AN169" s="220"/>
      <c r="AO169" s="256"/>
      <c r="AP169" s="223"/>
      <c r="AQ169" s="220"/>
      <c r="AR169" s="255"/>
      <c r="AS169" s="223"/>
      <c r="AT169" s="220"/>
      <c r="AU169" s="255"/>
      <c r="AV169" s="223"/>
      <c r="AW169" s="218"/>
      <c r="AX169" s="222"/>
      <c r="AY169" s="252"/>
      <c r="AZ169" s="255"/>
      <c r="BA169" s="223"/>
      <c r="BB169" s="220"/>
      <c r="BC169" s="256"/>
      <c r="BD169" s="223"/>
      <c r="BE169" s="220"/>
      <c r="BF169" s="255"/>
      <c r="BG169" s="223"/>
      <c r="BH169" s="220"/>
      <c r="BI169" s="255"/>
      <c r="BJ169" s="223"/>
      <c r="BK169" s="218"/>
      <c r="BL169" s="222"/>
      <c r="BN169" s="255"/>
      <c r="BO169" s="223"/>
      <c r="BP169" s="220"/>
      <c r="BQ169" s="256"/>
      <c r="BR169" s="223"/>
      <c r="BS169" s="220"/>
      <c r="BT169" s="255"/>
      <c r="BU169" s="223"/>
      <c r="BV169" s="220"/>
      <c r="BW169" s="255"/>
      <c r="BX169" s="223"/>
      <c r="BY169" s="218"/>
      <c r="BZ169" s="222"/>
      <c r="CB169" s="255"/>
      <c r="CC169" s="223"/>
      <c r="CD169" s="220"/>
      <c r="CE169" s="256"/>
      <c r="CF169" s="223"/>
      <c r="CG169" s="220"/>
      <c r="CH169" s="255"/>
      <c r="CI169" s="223"/>
      <c r="CJ169" s="220"/>
      <c r="CK169" s="255"/>
      <c r="CL169" s="223"/>
      <c r="CM169" s="218"/>
      <c r="CN169" s="222"/>
    </row>
    <row r="170" spans="2:92" ht="51.75" customHeight="1" x14ac:dyDescent="0.2">
      <c r="B170" s="1341"/>
      <c r="C170" s="1231"/>
      <c r="D170" s="1265"/>
      <c r="E170" s="1212"/>
      <c r="F170" s="1210"/>
      <c r="G170" s="335" t="str">
        <f>+'Plan de Accion apoyo transversa'!X16</f>
        <v>Campaña externa de sensibilización sobre la importancia de la Rendición de Cuentas.</v>
      </c>
      <c r="H170" s="231" t="str">
        <f>+'Plan de Accion apoyo transversa'!AK16</f>
        <v># Campaña externa de sensibilización sobre la importancia de la Rendición de Cuentas.</v>
      </c>
      <c r="J170" s="234">
        <f>+'Plan de Accion apoyo transversa'!AT16</f>
        <v>0</v>
      </c>
      <c r="K170" s="503" t="str">
        <f>+'Plan de Accion apoyo transversa'!CE16</f>
        <v>No Prog ni Ejec</v>
      </c>
      <c r="L170" s="503" t="s">
        <v>204</v>
      </c>
      <c r="M170" s="503">
        <f>+'Plan de Accion apoyo transversa'!AX16</f>
        <v>0</v>
      </c>
      <c r="N170" s="503">
        <f t="shared" si="89"/>
        <v>0</v>
      </c>
      <c r="O170" s="505" t="s">
        <v>204</v>
      </c>
      <c r="P170" s="229"/>
      <c r="Q170" s="234">
        <f>+'Plan de Accion apoyo transversa'!BD16</f>
        <v>0</v>
      </c>
      <c r="R170" s="266" t="str">
        <f>+'Plan de Accion apoyo transversa'!CG16</f>
        <v>No Prog ni Ejec</v>
      </c>
      <c r="S170" s="228" t="s">
        <v>204</v>
      </c>
      <c r="T170" s="324">
        <f>+'Plan de Accion apoyo transversa'!BH16</f>
        <v>0</v>
      </c>
      <c r="U170" s="324">
        <f t="shared" si="128"/>
        <v>0</v>
      </c>
      <c r="V170" s="227" t="s">
        <v>204</v>
      </c>
      <c r="W170" s="229"/>
      <c r="X170" s="234">
        <f>+'Plan de Accion apoyo transversa'!BN16</f>
        <v>0</v>
      </c>
      <c r="Y170" s="266">
        <f>+'Plan de Accion apoyo transversa'!CI16</f>
        <v>0</v>
      </c>
      <c r="Z170" s="228">
        <f t="shared" si="129"/>
        <v>0</v>
      </c>
      <c r="AA170" s="233">
        <f>+'Plan de Accion apoyo transversa'!BR16</f>
        <v>0</v>
      </c>
      <c r="AB170" s="233">
        <f t="shared" si="130"/>
        <v>0</v>
      </c>
      <c r="AC170" s="232">
        <f t="shared" si="131"/>
        <v>0</v>
      </c>
      <c r="AD170" s="229"/>
      <c r="AE170" s="235">
        <f>+'Plan de Accion apoyo transversa'!BX16</f>
        <v>0</v>
      </c>
      <c r="AF170" s="266" t="str">
        <f>+'Plan de Accion apoyo transversa'!CK16</f>
        <v>No Prog ni Ejec</v>
      </c>
      <c r="AG170" s="228" t="s">
        <v>204</v>
      </c>
      <c r="AH170" s="266">
        <f>+'Plan de Accion apoyo transversa'!CB16</f>
        <v>0</v>
      </c>
      <c r="AI170" s="227">
        <f t="shared" si="132"/>
        <v>0</v>
      </c>
      <c r="AJ170" s="226"/>
      <c r="AK170" s="253"/>
      <c r="AL170" s="255"/>
      <c r="AM170" s="223"/>
      <c r="AN170" s="220"/>
      <c r="AO170" s="256"/>
      <c r="AP170" s="223"/>
      <c r="AQ170" s="220"/>
      <c r="AR170" s="255"/>
      <c r="AS170" s="223"/>
      <c r="AT170" s="220"/>
      <c r="AU170" s="255"/>
      <c r="AV170" s="223"/>
      <c r="AW170" s="218"/>
      <c r="AX170" s="222"/>
      <c r="AY170" s="252"/>
      <c r="AZ170" s="255"/>
      <c r="BA170" s="223"/>
      <c r="BB170" s="220"/>
      <c r="BC170" s="256"/>
      <c r="BD170" s="223"/>
      <c r="BE170" s="220"/>
      <c r="BF170" s="255"/>
      <c r="BG170" s="223"/>
      <c r="BH170" s="220"/>
      <c r="BI170" s="255"/>
      <c r="BJ170" s="223"/>
      <c r="BK170" s="218"/>
      <c r="BL170" s="222"/>
      <c r="BN170" s="255"/>
      <c r="BO170" s="223"/>
      <c r="BP170" s="220"/>
      <c r="BQ170" s="256"/>
      <c r="BR170" s="223"/>
      <c r="BS170" s="220"/>
      <c r="BT170" s="255"/>
      <c r="BU170" s="223"/>
      <c r="BV170" s="220"/>
      <c r="BW170" s="255"/>
      <c r="BX170" s="223"/>
      <c r="BY170" s="218"/>
      <c r="BZ170" s="222"/>
      <c r="CB170" s="255"/>
      <c r="CC170" s="223"/>
      <c r="CD170" s="220"/>
      <c r="CE170" s="256"/>
      <c r="CF170" s="223"/>
      <c r="CG170" s="220"/>
      <c r="CH170" s="255"/>
      <c r="CI170" s="223"/>
      <c r="CJ170" s="220"/>
      <c r="CK170" s="255"/>
      <c r="CL170" s="223"/>
      <c r="CM170" s="218"/>
      <c r="CN170" s="222"/>
    </row>
    <row r="171" spans="2:92" ht="75" customHeight="1" x14ac:dyDescent="0.2">
      <c r="B171" s="1341"/>
      <c r="C171" s="1231"/>
      <c r="D171" s="1265"/>
      <c r="E171" s="1212"/>
      <c r="F171" s="1210"/>
      <c r="G171" s="1202" t="str">
        <f>+'Plan de Accion apoyo transversa'!X166</f>
        <v>Audiencia pública de Rendición de cuentas externa realizadas</v>
      </c>
      <c r="H171" s="231" t="str">
        <f>+'Plan de Accion apoyo transversa'!AK166</f>
        <v># Informes de Rendición de Cuentas externa de la ADRES publicados</v>
      </c>
      <c r="J171" s="234">
        <f>+'Plan de Accion apoyo transversa'!AT166</f>
        <v>0</v>
      </c>
      <c r="K171" s="503" t="str">
        <f>+'Plan de Accion apoyo transversa'!CE166</f>
        <v>No Prog ni Ejec</v>
      </c>
      <c r="L171" s="503" t="s">
        <v>204</v>
      </c>
      <c r="M171" s="503">
        <f>+'Plan de Accion apoyo transversa'!AX166</f>
        <v>0</v>
      </c>
      <c r="N171" s="503">
        <f t="shared" si="89"/>
        <v>0</v>
      </c>
      <c r="O171" s="505" t="s">
        <v>204</v>
      </c>
      <c r="P171" s="229"/>
      <c r="Q171" s="234">
        <f>+'Plan de Accion apoyo transversa'!BD166</f>
        <v>0</v>
      </c>
      <c r="R171" s="266" t="str">
        <f>+'Plan de Accion apoyo transversa'!CG166</f>
        <v>No Prog ni Ejec</v>
      </c>
      <c r="S171" s="228" t="s">
        <v>204</v>
      </c>
      <c r="T171" s="324">
        <f>+'Plan de Accion apoyo transversa'!BH166</f>
        <v>0</v>
      </c>
      <c r="U171" s="324">
        <f t="shared" si="128"/>
        <v>0</v>
      </c>
      <c r="V171" s="227" t="s">
        <v>204</v>
      </c>
      <c r="W171" s="229"/>
      <c r="X171" s="234">
        <f>+'Plan de Accion apoyo transversa'!BN166</f>
        <v>0</v>
      </c>
      <c r="Y171" s="266">
        <f>+'Plan de Accion apoyo transversa'!CI166</f>
        <v>0</v>
      </c>
      <c r="Z171" s="228">
        <f t="shared" si="129"/>
        <v>0</v>
      </c>
      <c r="AA171" s="233">
        <f>+'Plan de Accion apoyo transversa'!BR166</f>
        <v>0</v>
      </c>
      <c r="AB171" s="233">
        <f t="shared" si="130"/>
        <v>0</v>
      </c>
      <c r="AC171" s="232">
        <f t="shared" si="131"/>
        <v>0</v>
      </c>
      <c r="AD171" s="229"/>
      <c r="AE171" s="235">
        <f>+'Plan de Accion apoyo transversa'!BX166</f>
        <v>0</v>
      </c>
      <c r="AF171" s="266" t="str">
        <f>+'Plan de Accion apoyo transversa'!CK166</f>
        <v>No Prog ni Ejec</v>
      </c>
      <c r="AG171" s="228" t="s">
        <v>204</v>
      </c>
      <c r="AH171" s="266">
        <f>+'Plan de Accion apoyo transversa'!CB166</f>
        <v>0</v>
      </c>
      <c r="AI171" s="227">
        <f t="shared" si="132"/>
        <v>0</v>
      </c>
      <c r="AJ171" s="226"/>
      <c r="AK171" s="253"/>
      <c r="AL171" s="255"/>
      <c r="AM171" s="223"/>
      <c r="AN171" s="220"/>
      <c r="AO171" s="256"/>
      <c r="AP171" s="223"/>
      <c r="AQ171" s="220"/>
      <c r="AR171" s="255"/>
      <c r="AS171" s="223"/>
      <c r="AT171" s="220"/>
      <c r="AU171" s="255"/>
      <c r="AV171" s="223"/>
      <c r="AW171" s="218"/>
      <c r="AX171" s="222"/>
      <c r="AY171" s="252"/>
      <c r="AZ171" s="255"/>
      <c r="BA171" s="223"/>
      <c r="BB171" s="220"/>
      <c r="BC171" s="256"/>
      <c r="BD171" s="223"/>
      <c r="BE171" s="220"/>
      <c r="BF171" s="255"/>
      <c r="BG171" s="223"/>
      <c r="BH171" s="220"/>
      <c r="BI171" s="255"/>
      <c r="BJ171" s="223"/>
      <c r="BK171" s="218"/>
      <c r="BL171" s="222"/>
      <c r="BN171" s="255"/>
      <c r="BO171" s="223"/>
      <c r="BP171" s="220"/>
      <c r="BQ171" s="256"/>
      <c r="BR171" s="223"/>
      <c r="BS171" s="220"/>
      <c r="BT171" s="255"/>
      <c r="BU171" s="223"/>
      <c r="BV171" s="220"/>
      <c r="BW171" s="255"/>
      <c r="BX171" s="223"/>
      <c r="BY171" s="218"/>
      <c r="BZ171" s="222"/>
      <c r="CB171" s="255"/>
      <c r="CC171" s="223"/>
      <c r="CD171" s="220"/>
      <c r="CE171" s="256"/>
      <c r="CF171" s="223"/>
      <c r="CG171" s="220"/>
      <c r="CH171" s="255"/>
      <c r="CI171" s="223"/>
      <c r="CJ171" s="220"/>
      <c r="CK171" s="255"/>
      <c r="CL171" s="223"/>
      <c r="CM171" s="218"/>
      <c r="CN171" s="222"/>
    </row>
    <row r="172" spans="2:92" ht="75" customHeight="1" x14ac:dyDescent="0.2">
      <c r="B172" s="1341"/>
      <c r="C172" s="1231"/>
      <c r="D172" s="1265"/>
      <c r="E172" s="1212"/>
      <c r="F172" s="1210"/>
      <c r="G172" s="1203"/>
      <c r="H172" s="231" t="str">
        <f>+'Plan de Accion apoyo transversa'!AK167</f>
        <v># de Jornadas de rendición de cuentas externas</v>
      </c>
      <c r="J172" s="234">
        <f>+'Plan de Accion apoyo transversa'!AT167</f>
        <v>0</v>
      </c>
      <c r="K172" s="579" t="str">
        <f>+'Plan de Accion apoyo transversa'!CE167</f>
        <v>No Prog ni Ejec</v>
      </c>
      <c r="L172" s="579" t="s">
        <v>204</v>
      </c>
      <c r="M172" s="579">
        <f>+'Plan de Accion apoyo transversa'!AX167</f>
        <v>0</v>
      </c>
      <c r="N172" s="579">
        <f t="shared" ref="N172" si="133">IF(M172&gt;100%,100%,M172)</f>
        <v>0</v>
      </c>
      <c r="O172" s="581" t="s">
        <v>204</v>
      </c>
      <c r="P172" s="229"/>
      <c r="Q172" s="234">
        <f>+'Plan de Accion apoyo transversa'!BD167</f>
        <v>0</v>
      </c>
      <c r="R172" s="266" t="str">
        <f>+'Plan de Accion apoyo transversa'!CG167</f>
        <v>No Prog ni Ejec</v>
      </c>
      <c r="S172" s="228" t="s">
        <v>204</v>
      </c>
      <c r="T172" s="579">
        <f>+'Plan de Accion apoyo transversa'!BH167</f>
        <v>0</v>
      </c>
      <c r="U172" s="579">
        <f t="shared" ref="U172" si="134">IF(T172&gt;100%,100%,T172)</f>
        <v>0</v>
      </c>
      <c r="V172" s="227" t="s">
        <v>204</v>
      </c>
      <c r="W172" s="229"/>
      <c r="X172" s="234">
        <f>+'Plan de Accion apoyo transversa'!BN167</f>
        <v>0</v>
      </c>
      <c r="Y172" s="266">
        <f>+'Plan de Accion apoyo transversa'!CI167</f>
        <v>0</v>
      </c>
      <c r="Z172" s="228">
        <f t="shared" ref="Z172" si="135">IF(Y172&gt;100%,100%,Y172)</f>
        <v>0</v>
      </c>
      <c r="AA172" s="233">
        <f>+'Plan de Accion apoyo transversa'!BR167</f>
        <v>0</v>
      </c>
      <c r="AB172" s="233">
        <f t="shared" ref="AB172" si="136">IF(AA172&gt;100%,100%,AA172)</f>
        <v>0</v>
      </c>
      <c r="AC172" s="232">
        <f t="shared" ref="AC172" si="137">+AB172</f>
        <v>0</v>
      </c>
      <c r="AD172" s="229"/>
      <c r="AE172" s="235">
        <f>+'Plan de Accion apoyo transversa'!BX167</f>
        <v>0</v>
      </c>
      <c r="AF172" s="266" t="str">
        <f>+'Plan de Accion apoyo transversa'!CK167</f>
        <v>No Prog ni Ejec</v>
      </c>
      <c r="AG172" s="228" t="s">
        <v>204</v>
      </c>
      <c r="AH172" s="266">
        <f>+'Plan de Accion apoyo transversa'!CB167</f>
        <v>0</v>
      </c>
      <c r="AI172" s="227">
        <f t="shared" ref="AI172" si="138">IF(AH172&gt;100%,100%,AH172)</f>
        <v>0</v>
      </c>
      <c r="AJ172" s="588"/>
      <c r="AK172" s="253"/>
      <c r="AL172" s="590"/>
      <c r="AM172" s="586"/>
      <c r="AN172" s="220"/>
      <c r="AO172" s="256"/>
      <c r="AP172" s="586"/>
      <c r="AQ172" s="220"/>
      <c r="AR172" s="590"/>
      <c r="AS172" s="586"/>
      <c r="AT172" s="220"/>
      <c r="AU172" s="590"/>
      <c r="AV172" s="586"/>
      <c r="AW172" s="218"/>
      <c r="AX172" s="587"/>
      <c r="AY172" s="252"/>
      <c r="AZ172" s="590"/>
      <c r="BA172" s="586"/>
      <c r="BB172" s="220"/>
      <c r="BC172" s="256"/>
      <c r="BD172" s="586"/>
      <c r="BE172" s="220"/>
      <c r="BF172" s="590"/>
      <c r="BG172" s="586"/>
      <c r="BH172" s="220"/>
      <c r="BI172" s="590"/>
      <c r="BJ172" s="586"/>
      <c r="BK172" s="218"/>
      <c r="BL172" s="587"/>
      <c r="BN172" s="590"/>
      <c r="BO172" s="586"/>
      <c r="BP172" s="220"/>
      <c r="BQ172" s="256"/>
      <c r="BR172" s="586"/>
      <c r="BS172" s="220"/>
      <c r="BT172" s="590"/>
      <c r="BU172" s="586"/>
      <c r="BV172" s="220"/>
      <c r="BW172" s="590"/>
      <c r="BX172" s="586"/>
      <c r="BY172" s="218"/>
      <c r="BZ172" s="587"/>
      <c r="CB172" s="590"/>
      <c r="CC172" s="586"/>
      <c r="CD172" s="220"/>
      <c r="CE172" s="256"/>
      <c r="CF172" s="586"/>
      <c r="CG172" s="220"/>
      <c r="CH172" s="590"/>
      <c r="CI172" s="586"/>
      <c r="CJ172" s="220"/>
      <c r="CK172" s="590"/>
      <c r="CL172" s="586"/>
      <c r="CM172" s="218"/>
      <c r="CN172" s="587"/>
    </row>
    <row r="173" spans="2:92" ht="75" customHeight="1" x14ac:dyDescent="0.2">
      <c r="B173" s="1341"/>
      <c r="C173" s="1231"/>
      <c r="D173" s="1265"/>
      <c r="E173" s="1212"/>
      <c r="F173" s="1210"/>
      <c r="G173" s="1202" t="str">
        <f>+'Plan de Accion apoyo transversa'!X168</f>
        <v>Audiencia pública de Rendición de cuentas interna realizadas</v>
      </c>
      <c r="H173" s="231" t="str">
        <f>+'Plan de Accion apoyo transversa'!AK168</f>
        <v># Audiencias públicas de Rendición de cuentas interna realizadas</v>
      </c>
      <c r="J173" s="234">
        <f>+'Plan de Accion apoyo transversa'!AT168</f>
        <v>0</v>
      </c>
      <c r="K173" s="503" t="str">
        <f>+'Plan de Accion apoyo transversa'!CE168</f>
        <v>No Prog ni Ejec</v>
      </c>
      <c r="L173" s="503" t="s">
        <v>204</v>
      </c>
      <c r="M173" s="503">
        <f>+'Plan de Accion apoyo transversa'!AX168</f>
        <v>0</v>
      </c>
      <c r="N173" s="503">
        <f t="shared" si="89"/>
        <v>0</v>
      </c>
      <c r="O173" s="505" t="s">
        <v>204</v>
      </c>
      <c r="P173" s="229"/>
      <c r="Q173" s="234">
        <f>+'Plan de Accion apoyo transversa'!BD168</f>
        <v>0</v>
      </c>
      <c r="R173" s="266" t="str">
        <f>+'Plan de Accion apoyo transversa'!CG168</f>
        <v>No Prog ni Ejec</v>
      </c>
      <c r="S173" s="228" t="s">
        <v>204</v>
      </c>
      <c r="T173" s="324">
        <f>+'Plan de Accion apoyo transversa'!BH168</f>
        <v>0</v>
      </c>
      <c r="U173" s="324">
        <f t="shared" si="128"/>
        <v>0</v>
      </c>
      <c r="V173" s="227" t="s">
        <v>204</v>
      </c>
      <c r="W173" s="229"/>
      <c r="X173" s="234">
        <f>+'Plan de Accion apoyo transversa'!BN168</f>
        <v>0</v>
      </c>
      <c r="Y173" s="266">
        <f>+'Plan de Accion apoyo transversa'!CI168</f>
        <v>0</v>
      </c>
      <c r="Z173" s="228">
        <f t="shared" si="129"/>
        <v>0</v>
      </c>
      <c r="AA173" s="233">
        <f>+'Plan de Accion apoyo transversa'!BR168</f>
        <v>0</v>
      </c>
      <c r="AB173" s="233">
        <f t="shared" si="130"/>
        <v>0</v>
      </c>
      <c r="AC173" s="232">
        <f t="shared" si="131"/>
        <v>0</v>
      </c>
      <c r="AD173" s="229"/>
      <c r="AE173" s="235">
        <f>+'Plan de Accion apoyo transversa'!BX168</f>
        <v>0</v>
      </c>
      <c r="AF173" s="266" t="str">
        <f>+'Plan de Accion apoyo transversa'!CK168</f>
        <v>No Prog ni Ejec</v>
      </c>
      <c r="AG173" s="228" t="s">
        <v>204</v>
      </c>
      <c r="AH173" s="266">
        <f>+'Plan de Accion apoyo transversa'!CB168</f>
        <v>0</v>
      </c>
      <c r="AI173" s="227">
        <f t="shared" si="132"/>
        <v>0</v>
      </c>
      <c r="AJ173" s="226"/>
      <c r="AK173" s="253"/>
      <c r="AL173" s="255"/>
      <c r="AM173" s="223"/>
      <c r="AN173" s="220"/>
      <c r="AO173" s="256"/>
      <c r="AP173" s="223"/>
      <c r="AQ173" s="220"/>
      <c r="AR173" s="255"/>
      <c r="AS173" s="223"/>
      <c r="AT173" s="220"/>
      <c r="AU173" s="255"/>
      <c r="AV173" s="223"/>
      <c r="AW173" s="218"/>
      <c r="AX173" s="222"/>
      <c r="AY173" s="252"/>
      <c r="AZ173" s="255"/>
      <c r="BA173" s="223"/>
      <c r="BB173" s="220"/>
      <c r="BC173" s="256"/>
      <c r="BD173" s="223"/>
      <c r="BE173" s="220"/>
      <c r="BF173" s="255"/>
      <c r="BG173" s="223"/>
      <c r="BH173" s="220"/>
      <c r="BI173" s="255"/>
      <c r="BJ173" s="223"/>
      <c r="BK173" s="218"/>
      <c r="BL173" s="222"/>
      <c r="BN173" s="255"/>
      <c r="BO173" s="223"/>
      <c r="BP173" s="220"/>
      <c r="BQ173" s="256"/>
      <c r="BR173" s="223"/>
      <c r="BS173" s="220"/>
      <c r="BT173" s="255"/>
      <c r="BU173" s="223"/>
      <c r="BV173" s="220"/>
      <c r="BW173" s="255"/>
      <c r="BX173" s="223"/>
      <c r="BY173" s="218"/>
      <c r="BZ173" s="222"/>
      <c r="CB173" s="255"/>
      <c r="CC173" s="223"/>
      <c r="CD173" s="220"/>
      <c r="CE173" s="256"/>
      <c r="CF173" s="223"/>
      <c r="CG173" s="220"/>
      <c r="CH173" s="255"/>
      <c r="CI173" s="223"/>
      <c r="CJ173" s="220"/>
      <c r="CK173" s="255"/>
      <c r="CL173" s="223"/>
      <c r="CM173" s="218"/>
      <c r="CN173" s="222"/>
    </row>
    <row r="174" spans="2:92" ht="75" customHeight="1" x14ac:dyDescent="0.2">
      <c r="B174" s="1341"/>
      <c r="C174" s="1231"/>
      <c r="D174" s="1265"/>
      <c r="E174" s="1212"/>
      <c r="F174" s="1210"/>
      <c r="G174" s="1203"/>
      <c r="H174" s="231" t="str">
        <f>+'Plan de Accion apoyo transversa'!AK169</f>
        <v xml:space="preserve"># Informes de Rendición de Cuentas interna de la ADRES publicados </v>
      </c>
      <c r="J174" s="234">
        <f>+'Plan de Accion apoyo transversa'!AT169</f>
        <v>0</v>
      </c>
      <c r="K174" s="579" t="str">
        <f>+'Plan de Accion apoyo transversa'!CE169</f>
        <v>No Prog ni Ejec</v>
      </c>
      <c r="L174" s="579" t="s">
        <v>204</v>
      </c>
      <c r="M174" s="579">
        <f>+'Plan de Accion apoyo transversa'!AX169</f>
        <v>0</v>
      </c>
      <c r="N174" s="579">
        <f t="shared" ref="N174" si="139">IF(M174&gt;100%,100%,M174)</f>
        <v>0</v>
      </c>
      <c r="O174" s="581" t="s">
        <v>204</v>
      </c>
      <c r="P174" s="229"/>
      <c r="Q174" s="234">
        <f>+'Plan de Accion apoyo transversa'!BD169</f>
        <v>0</v>
      </c>
      <c r="R174" s="266" t="str">
        <f>+'Plan de Accion apoyo transversa'!CG169</f>
        <v>No Prog ni Ejec</v>
      </c>
      <c r="S174" s="228" t="s">
        <v>204</v>
      </c>
      <c r="T174" s="579">
        <f>+'Plan de Accion apoyo transversa'!BH169</f>
        <v>0</v>
      </c>
      <c r="U174" s="579">
        <f t="shared" ref="U174" si="140">IF(T174&gt;100%,100%,T174)</f>
        <v>0</v>
      </c>
      <c r="V174" s="227" t="s">
        <v>204</v>
      </c>
      <c r="W174" s="229"/>
      <c r="X174" s="234">
        <f>+'Plan de Accion apoyo transversa'!BN169</f>
        <v>0</v>
      </c>
      <c r="Y174" s="266">
        <f>+'Plan de Accion apoyo transversa'!CI169</f>
        <v>0</v>
      </c>
      <c r="Z174" s="228">
        <f t="shared" ref="Z174" si="141">IF(Y174&gt;100%,100%,Y174)</f>
        <v>0</v>
      </c>
      <c r="AA174" s="233">
        <f>+'Plan de Accion apoyo transversa'!BR169</f>
        <v>0</v>
      </c>
      <c r="AB174" s="233">
        <f t="shared" ref="AB174" si="142">IF(AA174&gt;100%,100%,AA174)</f>
        <v>0</v>
      </c>
      <c r="AC174" s="232">
        <f t="shared" ref="AC174" si="143">+AB174</f>
        <v>0</v>
      </c>
      <c r="AD174" s="229"/>
      <c r="AE174" s="235">
        <f>+'Plan de Accion apoyo transversa'!BX169</f>
        <v>0</v>
      </c>
      <c r="AF174" s="266" t="str">
        <f>+'Plan de Accion apoyo transversa'!CK169</f>
        <v>No Prog ni Ejec</v>
      </c>
      <c r="AG174" s="228" t="s">
        <v>204</v>
      </c>
      <c r="AH174" s="266">
        <f>+'Plan de Accion apoyo transversa'!CB169</f>
        <v>0</v>
      </c>
      <c r="AI174" s="227">
        <f t="shared" ref="AI174" si="144">IF(AH174&gt;100%,100%,AH174)</f>
        <v>0</v>
      </c>
      <c r="AJ174" s="588"/>
      <c r="AK174" s="253"/>
      <c r="AL174" s="590"/>
      <c r="AM174" s="586"/>
      <c r="AN174" s="220"/>
      <c r="AO174" s="256"/>
      <c r="AP174" s="586"/>
      <c r="AQ174" s="220"/>
      <c r="AR174" s="590"/>
      <c r="AS174" s="586"/>
      <c r="AT174" s="220"/>
      <c r="AU174" s="590"/>
      <c r="AV174" s="586"/>
      <c r="AW174" s="218"/>
      <c r="AX174" s="587"/>
      <c r="AY174" s="252"/>
      <c r="AZ174" s="590"/>
      <c r="BA174" s="586"/>
      <c r="BB174" s="220"/>
      <c r="BC174" s="256"/>
      <c r="BD174" s="586"/>
      <c r="BE174" s="220"/>
      <c r="BF174" s="590"/>
      <c r="BG174" s="586"/>
      <c r="BH174" s="220"/>
      <c r="BI174" s="590"/>
      <c r="BJ174" s="586"/>
      <c r="BK174" s="218"/>
      <c r="BL174" s="587"/>
      <c r="BN174" s="590"/>
      <c r="BO174" s="586"/>
      <c r="BP174" s="220"/>
      <c r="BQ174" s="256"/>
      <c r="BR174" s="586"/>
      <c r="BS174" s="220"/>
      <c r="BT174" s="590"/>
      <c r="BU174" s="586"/>
      <c r="BV174" s="220"/>
      <c r="BW174" s="590"/>
      <c r="BX174" s="586"/>
      <c r="BY174" s="218"/>
      <c r="BZ174" s="587"/>
      <c r="CB174" s="590"/>
      <c r="CC174" s="586"/>
      <c r="CD174" s="220"/>
      <c r="CE174" s="256"/>
      <c r="CF174" s="586"/>
      <c r="CG174" s="220"/>
      <c r="CH174" s="590"/>
      <c r="CI174" s="586"/>
      <c r="CJ174" s="220"/>
      <c r="CK174" s="590"/>
      <c r="CL174" s="586"/>
      <c r="CM174" s="218"/>
      <c r="CN174" s="587"/>
    </row>
    <row r="175" spans="2:92" ht="75" customHeight="1" x14ac:dyDescent="0.2">
      <c r="B175" s="1341"/>
      <c r="C175" s="1231"/>
      <c r="D175" s="1266"/>
      <c r="E175" s="1213"/>
      <c r="F175" s="1203"/>
      <c r="G175" s="335" t="str">
        <f>+'Plan de Accion apoyo transversa'!X170</f>
        <v>Actividades de relacionamiento y rendición de cuentas realizadas</v>
      </c>
      <c r="H175" s="231" t="str">
        <f>+'Plan de Accion apoyo transversa'!AK170</f>
        <v># Actividades de relacionamiento y rendición de cuentas realizadas</v>
      </c>
      <c r="J175" s="234">
        <f>+'Plan de Accion apoyo transversa'!AT170</f>
        <v>1</v>
      </c>
      <c r="K175" s="503">
        <f>+'Plan de Accion apoyo transversa'!CE170</f>
        <v>1</v>
      </c>
      <c r="L175" s="503">
        <f>IF(K175&gt;100%,100%,K175)</f>
        <v>1</v>
      </c>
      <c r="M175" s="503">
        <f>+'Plan de Accion apoyo transversa'!AX170</f>
        <v>0.25</v>
      </c>
      <c r="N175" s="503">
        <f t="shared" si="89"/>
        <v>0.25</v>
      </c>
      <c r="O175" s="505">
        <f>+N175</f>
        <v>0.25</v>
      </c>
      <c r="P175" s="229"/>
      <c r="Q175" s="234">
        <f>+'Plan de Accion apoyo transversa'!BD170</f>
        <v>1</v>
      </c>
      <c r="R175" s="266">
        <f>+'Plan de Accion apoyo transversa'!CG170</f>
        <v>1</v>
      </c>
      <c r="S175" s="228">
        <f>IF(R175&gt;100%,100%,R175)</f>
        <v>1</v>
      </c>
      <c r="T175" s="324">
        <f>+'Plan de Accion apoyo transversa'!BH170</f>
        <v>0.5</v>
      </c>
      <c r="U175" s="324">
        <f t="shared" si="128"/>
        <v>0.5</v>
      </c>
      <c r="V175" s="227">
        <f>+U175</f>
        <v>0.5</v>
      </c>
      <c r="W175" s="229"/>
      <c r="X175" s="234">
        <f>+'Plan de Accion apoyo transversa'!BN170</f>
        <v>0</v>
      </c>
      <c r="Y175" s="266">
        <f>+'Plan de Accion apoyo transversa'!CI170</f>
        <v>0</v>
      </c>
      <c r="Z175" s="228">
        <f t="shared" si="129"/>
        <v>0</v>
      </c>
      <c r="AA175" s="233">
        <f>+'Plan de Accion apoyo transversa'!BR170</f>
        <v>0.5</v>
      </c>
      <c r="AB175" s="233">
        <f t="shared" si="130"/>
        <v>0.5</v>
      </c>
      <c r="AC175" s="232">
        <f t="shared" si="131"/>
        <v>0.5</v>
      </c>
      <c r="AD175" s="229"/>
      <c r="AE175" s="235">
        <f>+'Plan de Accion apoyo transversa'!BX170</f>
        <v>0</v>
      </c>
      <c r="AF175" s="266">
        <f>+'Plan de Accion apoyo transversa'!CK170</f>
        <v>0</v>
      </c>
      <c r="AG175" s="228">
        <f t="shared" ref="AG175:AG189" si="145">IF(AF175&gt;100%,100%,AF175)</f>
        <v>0</v>
      </c>
      <c r="AH175" s="266">
        <f>+'Plan de Accion apoyo transversa'!CB170</f>
        <v>0.5</v>
      </c>
      <c r="AI175" s="227">
        <f t="shared" si="132"/>
        <v>0.5</v>
      </c>
      <c r="AJ175" s="226"/>
      <c r="AK175" s="253"/>
      <c r="AL175" s="255"/>
      <c r="AM175" s="223"/>
      <c r="AN175" s="220"/>
      <c r="AO175" s="256"/>
      <c r="AP175" s="223"/>
      <c r="AQ175" s="220"/>
      <c r="AR175" s="255"/>
      <c r="AS175" s="223"/>
      <c r="AT175" s="220"/>
      <c r="AU175" s="255"/>
      <c r="AV175" s="223"/>
      <c r="AW175" s="218"/>
      <c r="AX175" s="222"/>
      <c r="AY175" s="252"/>
      <c r="AZ175" s="255"/>
      <c r="BA175" s="223"/>
      <c r="BB175" s="220"/>
      <c r="BC175" s="256"/>
      <c r="BD175" s="223"/>
      <c r="BE175" s="220"/>
      <c r="BF175" s="255"/>
      <c r="BG175" s="223"/>
      <c r="BH175" s="220"/>
      <c r="BI175" s="255"/>
      <c r="BJ175" s="223"/>
      <c r="BK175" s="218"/>
      <c r="BL175" s="222"/>
      <c r="BN175" s="255"/>
      <c r="BO175" s="223"/>
      <c r="BP175" s="220"/>
      <c r="BQ175" s="256"/>
      <c r="BR175" s="223"/>
      <c r="BS175" s="220"/>
      <c r="BT175" s="255"/>
      <c r="BU175" s="223"/>
      <c r="BV175" s="220"/>
      <c r="BW175" s="255"/>
      <c r="BX175" s="223"/>
      <c r="BY175" s="218"/>
      <c r="BZ175" s="222"/>
      <c r="CB175" s="255"/>
      <c r="CC175" s="223"/>
      <c r="CD175" s="220"/>
      <c r="CE175" s="256"/>
      <c r="CF175" s="223"/>
      <c r="CG175" s="220"/>
      <c r="CH175" s="255"/>
      <c r="CI175" s="223"/>
      <c r="CJ175" s="220"/>
      <c r="CK175" s="255"/>
      <c r="CL175" s="223"/>
      <c r="CM175" s="218"/>
      <c r="CN175" s="222"/>
    </row>
    <row r="176" spans="2:92" ht="71.25" x14ac:dyDescent="0.2">
      <c r="B176" s="1341"/>
      <c r="C176" s="1231"/>
      <c r="D176" s="317" t="s">
        <v>204</v>
      </c>
      <c r="E176" s="335" t="s">
        <v>3</v>
      </c>
      <c r="F176" s="320" t="s">
        <v>330</v>
      </c>
      <c r="G176" s="335" t="str">
        <f>+'Plan de Accion apoyo transversa'!X46</f>
        <v>Entrega de Informes de Evaluación y Seguimiento de los Requerimientos Legales Externos en el marco de la normatividad vigente</v>
      </c>
      <c r="H176" s="231" t="str">
        <f>+'Plan de Accion apoyo transversa'!AK46</f>
        <v># de Informes Legales Externos presentados en cada trimestre Indicador Variable acumulado y de eficacia</v>
      </c>
      <c r="J176" s="234">
        <f>+'Plan de Accion apoyo transversa'!AT46</f>
        <v>8</v>
      </c>
      <c r="K176" s="503">
        <f>+'Plan de Accion apoyo transversa'!CE46</f>
        <v>1</v>
      </c>
      <c r="L176" s="503">
        <f>IF(K176&gt;100%,100%,K176)</f>
        <v>1</v>
      </c>
      <c r="M176" s="503">
        <f>+'Plan de Accion apoyo transversa'!AX46</f>
        <v>0.44444444444444442</v>
      </c>
      <c r="N176" s="503">
        <f t="shared" si="89"/>
        <v>0.44444444444444442</v>
      </c>
      <c r="O176" s="505">
        <f>+N176</f>
        <v>0.44444444444444442</v>
      </c>
      <c r="P176" s="229"/>
      <c r="Q176" s="234">
        <f>+'Plan de Accion apoyo transversa'!BD46</f>
        <v>4</v>
      </c>
      <c r="R176" s="266">
        <f>+'Plan de Accion apoyo transversa'!CG46</f>
        <v>1</v>
      </c>
      <c r="S176" s="228">
        <f>IF(R176&gt;100%,100%,R176)</f>
        <v>1</v>
      </c>
      <c r="T176" s="324">
        <f>+'Plan de Accion apoyo transversa'!BH46</f>
        <v>0.66666666666666663</v>
      </c>
      <c r="U176" s="324">
        <f t="shared" ref="U176:U182" si="146">IF(T176&gt;100%,100%,T176)</f>
        <v>0.66666666666666663</v>
      </c>
      <c r="V176" s="227">
        <f>+U176</f>
        <v>0.66666666666666663</v>
      </c>
      <c r="W176" s="229"/>
      <c r="X176" s="234">
        <f>+'Plan de Accion apoyo transversa'!BN46</f>
        <v>0</v>
      </c>
      <c r="Y176" s="266">
        <f>+'Plan de Accion apoyo transversa'!CI46</f>
        <v>0</v>
      </c>
      <c r="Z176" s="228">
        <f>IF(Y176&gt;100%,100%,Y176)</f>
        <v>0</v>
      </c>
      <c r="AA176" s="233">
        <f>+'Plan de Accion apoyo transversa'!BR46</f>
        <v>0.66666666666666663</v>
      </c>
      <c r="AB176" s="233">
        <f t="shared" ref="AB176:AB182" si="147">IF(AA176&gt;100%,100%,AA176)</f>
        <v>0.66666666666666663</v>
      </c>
      <c r="AC176" s="232">
        <f>+AB176</f>
        <v>0.66666666666666663</v>
      </c>
      <c r="AD176" s="229"/>
      <c r="AE176" s="235">
        <f>+'Plan de Accion apoyo transversa'!BX46</f>
        <v>0</v>
      </c>
      <c r="AF176" s="266">
        <f>+'Plan de Accion apoyo transversa'!CK46</f>
        <v>0</v>
      </c>
      <c r="AG176" s="228">
        <f t="shared" si="145"/>
        <v>0</v>
      </c>
      <c r="AH176" s="266">
        <f>+'Plan de Accion apoyo transversa'!CB46</f>
        <v>0.66666666666666663</v>
      </c>
      <c r="AI176" s="227">
        <f t="shared" ref="AI176:AI182" si="148">IF(AH176&gt;100%,100%,AH176)</f>
        <v>0.66666666666666663</v>
      </c>
      <c r="AJ176" s="246"/>
      <c r="AK176" s="253"/>
      <c r="AL176" s="1258"/>
      <c r="AM176" s="1258"/>
      <c r="AN176" s="220"/>
      <c r="AO176" s="1269"/>
      <c r="AP176" s="1258"/>
      <c r="AQ176" s="220"/>
      <c r="AR176" s="1258"/>
      <c r="AS176" s="1258"/>
      <c r="AT176" s="220"/>
      <c r="AU176" s="1258"/>
      <c r="AV176" s="1258"/>
      <c r="AW176" s="218"/>
      <c r="AX176" s="245"/>
      <c r="AY176" s="252"/>
      <c r="AZ176" s="1258"/>
      <c r="BA176" s="1258"/>
      <c r="BB176" s="220"/>
      <c r="BC176" s="1269"/>
      <c r="BD176" s="1258"/>
      <c r="BE176" s="220"/>
      <c r="BF176" s="1258"/>
      <c r="BG176" s="1258"/>
      <c r="BH176" s="220"/>
      <c r="BI176" s="1258"/>
      <c r="BJ176" s="1258"/>
      <c r="BK176" s="218"/>
      <c r="BL176" s="245"/>
      <c r="BN176" s="1258"/>
      <c r="BO176" s="1258"/>
      <c r="BP176" s="220"/>
      <c r="BQ176" s="1269"/>
      <c r="BR176" s="1258"/>
      <c r="BS176" s="220"/>
      <c r="BT176" s="1258"/>
      <c r="BU176" s="1258"/>
      <c r="BV176" s="220"/>
      <c r="BW176" s="1258"/>
      <c r="BX176" s="1258"/>
      <c r="BY176" s="218"/>
      <c r="BZ176" s="245"/>
      <c r="CB176" s="1258"/>
      <c r="CC176" s="1258"/>
      <c r="CD176" s="220"/>
      <c r="CE176" s="1269"/>
      <c r="CF176" s="1258"/>
      <c r="CG176" s="220"/>
      <c r="CH176" s="1258"/>
      <c r="CI176" s="1258"/>
      <c r="CJ176" s="220"/>
      <c r="CK176" s="1258"/>
      <c r="CL176" s="1258"/>
      <c r="CM176" s="218"/>
      <c r="CN176" s="245"/>
    </row>
    <row r="177" spans="2:92" ht="71.25" x14ac:dyDescent="0.25">
      <c r="B177" s="1341"/>
      <c r="C177" s="1231"/>
      <c r="D177" s="1214" t="s">
        <v>204</v>
      </c>
      <c r="E177" s="1202" t="s">
        <v>14</v>
      </c>
      <c r="F177" s="358" t="s">
        <v>1191</v>
      </c>
      <c r="G177" s="308" t="str">
        <f>+'Plan de Accion apoyo transversa'!X64</f>
        <v>Rendición de Cuentas del Sistema de Seguridad y Salud en el Trabajo a todos los niveles de la Entidad  realizada</v>
      </c>
      <c r="H177" s="240" t="str">
        <f>+'Plan de Accion apoyo transversa'!AK64</f>
        <v># de actividades realizadas</v>
      </c>
      <c r="I177" s="254"/>
      <c r="J177" s="234">
        <f>+'Plan de Accion apoyo transversa'!AT64</f>
        <v>0</v>
      </c>
      <c r="K177" s="503" t="str">
        <f>+'Plan de Accion apoyo transversa'!CE64</f>
        <v>No Prog ni Ejec</v>
      </c>
      <c r="L177" s="503" t="s">
        <v>204</v>
      </c>
      <c r="M177" s="503">
        <f>+'Plan de Accion apoyo transversa'!AX64</f>
        <v>0</v>
      </c>
      <c r="N177" s="503">
        <f t="shared" si="89"/>
        <v>0</v>
      </c>
      <c r="O177" s="505" t="s">
        <v>204</v>
      </c>
      <c r="P177" s="229"/>
      <c r="Q177" s="234">
        <f>+'Plan de Accion apoyo transversa'!BD64</f>
        <v>0</v>
      </c>
      <c r="R177" s="266" t="str">
        <f>+'Plan de Accion apoyo transversa'!CG64</f>
        <v>No Prog ni Ejec</v>
      </c>
      <c r="S177" s="228" t="s">
        <v>204</v>
      </c>
      <c r="T177" s="324">
        <f>+'Plan de Accion apoyo transversa'!BH64</f>
        <v>0</v>
      </c>
      <c r="U177" s="324">
        <f t="shared" si="146"/>
        <v>0</v>
      </c>
      <c r="V177" s="227" t="s">
        <v>204</v>
      </c>
      <c r="W177" s="229"/>
      <c r="X177" s="234">
        <f>+'Plan de Accion apoyo transversa'!BN64</f>
        <v>0</v>
      </c>
      <c r="Y177" s="266" t="str">
        <f>+'Plan de Accion apoyo transversa'!CI64</f>
        <v>No Prog ni Ejec</v>
      </c>
      <c r="Z177" s="228" t="s">
        <v>204</v>
      </c>
      <c r="AA177" s="233">
        <f>+'Plan de Accion apoyo transversa'!BR64</f>
        <v>0</v>
      </c>
      <c r="AB177" s="233">
        <f t="shared" si="147"/>
        <v>0</v>
      </c>
      <c r="AC177" s="232" t="s">
        <v>204</v>
      </c>
      <c r="AD177" s="229"/>
      <c r="AE177" s="235">
        <f>+'Plan de Accion apoyo transversa'!BX64</f>
        <v>0</v>
      </c>
      <c r="AF177" s="266">
        <f>+'Plan de Accion apoyo transversa'!CK64</f>
        <v>0</v>
      </c>
      <c r="AG177" s="228">
        <f t="shared" si="145"/>
        <v>0</v>
      </c>
      <c r="AH177" s="266">
        <f>+'Plan de Accion apoyo transversa'!CB64</f>
        <v>0</v>
      </c>
      <c r="AI177" s="227">
        <f t="shared" si="148"/>
        <v>0</v>
      </c>
      <c r="AJ177" s="246"/>
      <c r="AK177" s="253"/>
      <c r="AL177" s="1258"/>
      <c r="AM177" s="1258"/>
      <c r="AN177" s="220"/>
      <c r="AO177" s="1269"/>
      <c r="AP177" s="1258"/>
      <c r="AQ177" s="220"/>
      <c r="AR177" s="1258"/>
      <c r="AS177" s="1258"/>
      <c r="AT177" s="220"/>
      <c r="AU177" s="1258"/>
      <c r="AV177" s="1258"/>
      <c r="AW177" s="218"/>
      <c r="AX177" s="245"/>
      <c r="AY177" s="252"/>
      <c r="AZ177" s="1258"/>
      <c r="BA177" s="1258"/>
      <c r="BB177" s="220"/>
      <c r="BC177" s="1269"/>
      <c r="BD177" s="1258"/>
      <c r="BE177" s="220"/>
      <c r="BF177" s="1258"/>
      <c r="BG177" s="1258"/>
      <c r="BH177" s="220"/>
      <c r="BI177" s="1258"/>
      <c r="BJ177" s="1258"/>
      <c r="BK177" s="218"/>
      <c r="BL177" s="245"/>
      <c r="BN177" s="1258"/>
      <c r="BO177" s="1258"/>
      <c r="BP177" s="220"/>
      <c r="BQ177" s="1269"/>
      <c r="BR177" s="1258"/>
      <c r="BS177" s="220"/>
      <c r="BT177" s="1258"/>
      <c r="BU177" s="1258"/>
      <c r="BV177" s="220"/>
      <c r="BW177" s="1258"/>
      <c r="BX177" s="1258"/>
      <c r="BY177" s="218"/>
      <c r="BZ177" s="245"/>
      <c r="CB177" s="1258"/>
      <c r="CC177" s="1258"/>
      <c r="CD177" s="220"/>
      <c r="CE177" s="1269"/>
      <c r="CF177" s="1258"/>
      <c r="CG177" s="220"/>
      <c r="CH177" s="1258"/>
      <c r="CI177" s="1258"/>
      <c r="CJ177" s="220"/>
      <c r="CK177" s="1258"/>
      <c r="CL177" s="1258"/>
      <c r="CM177" s="218"/>
      <c r="CN177" s="245"/>
    </row>
    <row r="178" spans="2:92" ht="71.25" x14ac:dyDescent="0.25">
      <c r="B178" s="1341"/>
      <c r="C178" s="1231"/>
      <c r="D178" s="1215"/>
      <c r="E178" s="1210"/>
      <c r="F178" s="1202" t="s">
        <v>330</v>
      </c>
      <c r="G178" s="308" t="str">
        <f>+'Plan de Accion apoyo transversa'!X121</f>
        <v>Digiturno puesto a disposición de los ciudadanos que acuden al punto de atención presencial de la ADRES</v>
      </c>
      <c r="H178" s="240" t="str">
        <f>+'Plan de Accion apoyo transversa'!AK121</f>
        <v># Digiturnos puestos en funcionamiento</v>
      </c>
      <c r="I178" s="254"/>
      <c r="J178" s="234">
        <f>+'Plan de Accion apoyo transversa'!AT121</f>
        <v>0</v>
      </c>
      <c r="K178" s="503" t="str">
        <f>+'Plan de Accion apoyo transversa'!CE121</f>
        <v>No Prog ni Ejec</v>
      </c>
      <c r="L178" s="503" t="s">
        <v>204</v>
      </c>
      <c r="M178" s="503">
        <f>+'Plan de Accion apoyo transversa'!AX121</f>
        <v>0</v>
      </c>
      <c r="N178" s="503">
        <f t="shared" si="89"/>
        <v>0</v>
      </c>
      <c r="O178" s="505" t="s">
        <v>204</v>
      </c>
      <c r="P178" s="229"/>
      <c r="Q178" s="234">
        <f>+'Plan de Accion apoyo transversa'!BD121</f>
        <v>0</v>
      </c>
      <c r="R178" s="266" t="str">
        <f>+'Plan de Accion apoyo transversa'!CG121</f>
        <v>No Prog ni Ejec</v>
      </c>
      <c r="S178" s="228" t="s">
        <v>204</v>
      </c>
      <c r="T178" s="324">
        <f>+'Plan de Accion apoyo transversa'!BH121</f>
        <v>0</v>
      </c>
      <c r="U178" s="324">
        <f t="shared" si="146"/>
        <v>0</v>
      </c>
      <c r="V178" s="227" t="s">
        <v>204</v>
      </c>
      <c r="W178" s="229"/>
      <c r="X178" s="234">
        <f>+'Plan de Accion apoyo transversa'!BN121</f>
        <v>0</v>
      </c>
      <c r="Y178" s="266">
        <f>+'Plan de Accion apoyo transversa'!CI121</f>
        <v>0</v>
      </c>
      <c r="Z178" s="228">
        <f>IF(Y178&gt;100%,100%,Y178)</f>
        <v>0</v>
      </c>
      <c r="AA178" s="233">
        <f>+'Plan de Accion apoyo transversa'!BR121</f>
        <v>0</v>
      </c>
      <c r="AB178" s="233">
        <f t="shared" si="147"/>
        <v>0</v>
      </c>
      <c r="AC178" s="232">
        <f>+AB178</f>
        <v>0</v>
      </c>
      <c r="AD178" s="229"/>
      <c r="AE178" s="235">
        <f>+'Plan de Accion apoyo transversa'!BX121</f>
        <v>0</v>
      </c>
      <c r="AF178" s="266" t="str">
        <f>+'Plan de Accion apoyo transversa'!CK121</f>
        <v>No Prog ni Ejec</v>
      </c>
      <c r="AG178" s="228" t="s">
        <v>204</v>
      </c>
      <c r="AH178" s="266">
        <f>+'Plan de Accion apoyo transversa'!CB121</f>
        <v>0</v>
      </c>
      <c r="AI178" s="227">
        <f t="shared" si="148"/>
        <v>0</v>
      </c>
      <c r="AJ178" s="246"/>
      <c r="AK178" s="253"/>
      <c r="AL178" s="1258"/>
      <c r="AM178" s="1258"/>
      <c r="AN178" s="220"/>
      <c r="AO178" s="1269"/>
      <c r="AP178" s="1258"/>
      <c r="AQ178" s="220"/>
      <c r="AR178" s="1258"/>
      <c r="AS178" s="1258"/>
      <c r="AT178" s="220"/>
      <c r="AU178" s="1258"/>
      <c r="AV178" s="1258"/>
      <c r="AW178" s="218"/>
      <c r="AX178" s="245"/>
      <c r="AY178" s="252"/>
      <c r="AZ178" s="1258"/>
      <c r="BA178" s="1258"/>
      <c r="BB178" s="220"/>
      <c r="BC178" s="1269"/>
      <c r="BD178" s="1258"/>
      <c r="BE178" s="220"/>
      <c r="BF178" s="1258"/>
      <c r="BG178" s="1258"/>
      <c r="BH178" s="220"/>
      <c r="BI178" s="1258"/>
      <c r="BJ178" s="1258"/>
      <c r="BK178" s="218"/>
      <c r="BL178" s="245"/>
      <c r="BN178" s="1258"/>
      <c r="BO178" s="1258"/>
      <c r="BP178" s="220"/>
      <c r="BQ178" s="1269"/>
      <c r="BR178" s="1258"/>
      <c r="BS178" s="220"/>
      <c r="BT178" s="1258"/>
      <c r="BU178" s="1258"/>
      <c r="BV178" s="220"/>
      <c r="BW178" s="1258"/>
      <c r="BX178" s="1258"/>
      <c r="BY178" s="218"/>
      <c r="BZ178" s="245"/>
      <c r="CB178" s="1258"/>
      <c r="CC178" s="1258"/>
      <c r="CD178" s="220"/>
      <c r="CE178" s="1269"/>
      <c r="CF178" s="1258"/>
      <c r="CG178" s="220"/>
      <c r="CH178" s="1258"/>
      <c r="CI178" s="1258"/>
      <c r="CJ178" s="220"/>
      <c r="CK178" s="1258"/>
      <c r="CL178" s="1258"/>
      <c r="CM178" s="218"/>
      <c r="CN178" s="245"/>
    </row>
    <row r="179" spans="2:92" ht="121.5" customHeight="1" x14ac:dyDescent="0.25">
      <c r="B179" s="1341"/>
      <c r="C179" s="1231"/>
      <c r="D179" s="1215"/>
      <c r="E179" s="1210"/>
      <c r="F179" s="1203"/>
      <c r="G179" s="308" t="str">
        <f>+'Plan de Accion apoyo transversa'!X122</f>
        <v>Gestión de Servicio al ciudadano de la entidad  por los diferentes canales  de atención.</v>
      </c>
      <c r="H179" s="240" t="str">
        <f>+'Plan de Accion apoyo transversa'!AK122</f>
        <v># llamadas atendidas / # llamadas entrantes</v>
      </c>
      <c r="I179" s="254"/>
      <c r="J179" s="230">
        <f>+'Plan de Accion apoyo transversa'!AT122</f>
        <v>0.19645477937672737</v>
      </c>
      <c r="K179" s="503">
        <f>+'Plan de Accion apoyo transversa'!CE122</f>
        <v>0.98227389688363675</v>
      </c>
      <c r="L179" s="503">
        <f>IF(K179&gt;100%,100%,K179)</f>
        <v>0.98227389688363675</v>
      </c>
      <c r="M179" s="503">
        <f>+'Plan de Accion apoyo transversa'!AX122</f>
        <v>0.24556847422090919</v>
      </c>
      <c r="N179" s="503">
        <f t="shared" si="89"/>
        <v>0.24556847422090919</v>
      </c>
      <c r="O179" s="505">
        <f>+N179</f>
        <v>0.24556847422090919</v>
      </c>
      <c r="P179" s="229"/>
      <c r="Q179" s="230">
        <f>+'Plan de Accion apoyo transversa'!BD122</f>
        <v>0.19279279279279282</v>
      </c>
      <c r="R179" s="266">
        <f>+'Plan de Accion apoyo transversa'!CG122</f>
        <v>0.96396396396396411</v>
      </c>
      <c r="S179" s="228">
        <f>IF(R179&gt;100%,100%,R179)</f>
        <v>0.96396396396396411</v>
      </c>
      <c r="T179" s="324">
        <f>+'Plan de Accion apoyo transversa'!BH122</f>
        <v>0.48655946521190024</v>
      </c>
      <c r="U179" s="324">
        <f t="shared" si="146"/>
        <v>0.48655946521190024</v>
      </c>
      <c r="V179" s="227">
        <f>+U179</f>
        <v>0.48655946521190024</v>
      </c>
      <c r="W179" s="229"/>
      <c r="X179" s="230">
        <f>+'Plan de Accion apoyo transversa'!BN122</f>
        <v>0</v>
      </c>
      <c r="Y179" s="266">
        <f>+'Plan de Accion apoyo transversa'!CI122</f>
        <v>0</v>
      </c>
      <c r="Z179" s="228">
        <f>IF(Y179&gt;100%,100%,Y179)</f>
        <v>0</v>
      </c>
      <c r="AA179" s="233">
        <f>+'Plan de Accion apoyo transversa'!BR122</f>
        <v>0.48655946521190024</v>
      </c>
      <c r="AB179" s="233">
        <f t="shared" si="147"/>
        <v>0.48655946521190024</v>
      </c>
      <c r="AC179" s="232">
        <f>+AB179</f>
        <v>0.48655946521190024</v>
      </c>
      <c r="AD179" s="229"/>
      <c r="AE179" s="230">
        <f>+'Plan de Accion apoyo transversa'!BX122</f>
        <v>0</v>
      </c>
      <c r="AF179" s="266">
        <f>+'Plan de Accion apoyo transversa'!CK122</f>
        <v>0</v>
      </c>
      <c r="AG179" s="228">
        <f t="shared" si="145"/>
        <v>0</v>
      </c>
      <c r="AH179" s="266">
        <f>+'Plan de Accion apoyo transversa'!CB122</f>
        <v>0.48655946521190024</v>
      </c>
      <c r="AI179" s="227">
        <f t="shared" si="148"/>
        <v>0.48655946521190024</v>
      </c>
      <c r="AJ179" s="246"/>
      <c r="AK179" s="253"/>
      <c r="AL179" s="1258"/>
      <c r="AM179" s="1258"/>
      <c r="AN179" s="220"/>
      <c r="AO179" s="1269"/>
      <c r="AP179" s="1258"/>
      <c r="AQ179" s="220"/>
      <c r="AR179" s="1258"/>
      <c r="AS179" s="1258"/>
      <c r="AT179" s="220"/>
      <c r="AU179" s="1258"/>
      <c r="AV179" s="1258"/>
      <c r="AW179" s="218"/>
      <c r="AX179" s="245"/>
      <c r="AY179" s="252"/>
      <c r="AZ179" s="1258"/>
      <c r="BA179" s="1258"/>
      <c r="BB179" s="220"/>
      <c r="BC179" s="1269"/>
      <c r="BD179" s="1258"/>
      <c r="BE179" s="220"/>
      <c r="BF179" s="1258"/>
      <c r="BG179" s="1258"/>
      <c r="BH179" s="220"/>
      <c r="BI179" s="1258"/>
      <c r="BJ179" s="1258"/>
      <c r="BK179" s="218"/>
      <c r="BL179" s="245"/>
      <c r="BN179" s="1258"/>
      <c r="BO179" s="1258"/>
      <c r="BP179" s="220"/>
      <c r="BQ179" s="1269"/>
      <c r="BR179" s="1258"/>
      <c r="BS179" s="220"/>
      <c r="BT179" s="1258"/>
      <c r="BU179" s="1258"/>
      <c r="BV179" s="220"/>
      <c r="BW179" s="1258"/>
      <c r="BX179" s="1258"/>
      <c r="BY179" s="218"/>
      <c r="BZ179" s="245"/>
      <c r="CB179" s="1258"/>
      <c r="CC179" s="1258"/>
      <c r="CD179" s="220"/>
      <c r="CE179" s="1269"/>
      <c r="CF179" s="1258"/>
      <c r="CG179" s="220"/>
      <c r="CH179" s="1258"/>
      <c r="CI179" s="1258"/>
      <c r="CJ179" s="220"/>
      <c r="CK179" s="1258"/>
      <c r="CL179" s="1258"/>
      <c r="CM179" s="218"/>
      <c r="CN179" s="245"/>
    </row>
    <row r="180" spans="2:92" ht="69" customHeight="1" x14ac:dyDescent="0.25">
      <c r="B180" s="1341"/>
      <c r="C180" s="1231"/>
      <c r="D180" s="1215"/>
      <c r="E180" s="1210"/>
      <c r="F180" s="1202" t="s">
        <v>529</v>
      </c>
      <c r="G180" s="308" t="str">
        <f>+'Plan de Accion apoyo transversa'!X181</f>
        <v>Registro de las bases de datos con datos personales ante la Superintendencia de Industria y Comercio - SIC</v>
      </c>
      <c r="H180" s="240" t="str">
        <f>+'Plan de Accion apoyo transversa'!AK181</f>
        <v># Registros realizados ante la SIC</v>
      </c>
      <c r="I180" s="254"/>
      <c r="J180" s="230">
        <f>+'Plan de Accion apoyo transversa'!AT181</f>
        <v>1</v>
      </c>
      <c r="K180" s="549">
        <f>+'Plan de Accion apoyo transversa'!CE181</f>
        <v>1</v>
      </c>
      <c r="L180" s="549">
        <f>IF(K180&gt;100%,100%,K180)</f>
        <v>1</v>
      </c>
      <c r="M180" s="549">
        <f>+'Plan de Accion apoyo transversa'!AX181</f>
        <v>1</v>
      </c>
      <c r="N180" s="549">
        <f t="shared" si="89"/>
        <v>1</v>
      </c>
      <c r="O180" s="550">
        <f>+N180</f>
        <v>1</v>
      </c>
      <c r="P180" s="229"/>
      <c r="Q180" s="230">
        <f>+'Plan de Accion apoyo transversa'!BD181</f>
        <v>0</v>
      </c>
      <c r="R180" s="266" t="str">
        <f>+'Plan de Accion apoyo transversa'!CG181</f>
        <v>No Prog ni Ejec</v>
      </c>
      <c r="S180" s="228" t="s">
        <v>204</v>
      </c>
      <c r="T180" s="549">
        <f>+'Plan de Accion apoyo transversa'!BH181</f>
        <v>1</v>
      </c>
      <c r="U180" s="549">
        <f t="shared" si="146"/>
        <v>1</v>
      </c>
      <c r="V180" s="227" t="s">
        <v>204</v>
      </c>
      <c r="W180" s="229"/>
      <c r="X180" s="230">
        <f>+'Plan de Accion apoyo transversa'!BN181</f>
        <v>0</v>
      </c>
      <c r="Y180" s="266" t="str">
        <f>+'Plan de Accion apoyo transversa'!CI181</f>
        <v>No Prog ni Ejec</v>
      </c>
      <c r="Z180" s="228" t="s">
        <v>204</v>
      </c>
      <c r="AA180" s="233">
        <f>+'Plan de Accion apoyo transversa'!BR181</f>
        <v>1</v>
      </c>
      <c r="AB180" s="233">
        <f t="shared" si="147"/>
        <v>1</v>
      </c>
      <c r="AC180" s="232" t="s">
        <v>204</v>
      </c>
      <c r="AD180" s="229"/>
      <c r="AE180" s="230">
        <f>+'Plan de Accion apoyo transversa'!BX181</f>
        <v>0</v>
      </c>
      <c r="AF180" s="266" t="str">
        <f>+'Plan de Accion apoyo transversa'!CK181</f>
        <v>No Prog ni Ejec</v>
      </c>
      <c r="AG180" s="228" t="s">
        <v>204</v>
      </c>
      <c r="AH180" s="266">
        <f>+'Plan de Accion apoyo transversa'!CB181</f>
        <v>1</v>
      </c>
      <c r="AI180" s="227">
        <f t="shared" si="148"/>
        <v>1</v>
      </c>
      <c r="AJ180" s="246"/>
      <c r="AK180" s="253"/>
      <c r="AL180" s="1258"/>
      <c r="AM180" s="1258"/>
      <c r="AN180" s="220"/>
      <c r="AO180" s="1269"/>
      <c r="AP180" s="1258"/>
      <c r="AQ180" s="220"/>
      <c r="AR180" s="1258"/>
      <c r="AS180" s="1258"/>
      <c r="AT180" s="220"/>
      <c r="AU180" s="1258"/>
      <c r="AV180" s="1258"/>
      <c r="AW180" s="218"/>
      <c r="AX180" s="245"/>
      <c r="AY180" s="252"/>
      <c r="AZ180" s="1258"/>
      <c r="BA180" s="1258"/>
      <c r="BB180" s="220"/>
      <c r="BC180" s="1269"/>
      <c r="BD180" s="1258"/>
      <c r="BE180" s="220"/>
      <c r="BF180" s="1258"/>
      <c r="BG180" s="1258"/>
      <c r="BH180" s="220"/>
      <c r="BI180" s="1258"/>
      <c r="BJ180" s="1258"/>
      <c r="BK180" s="218"/>
      <c r="BL180" s="245"/>
      <c r="BN180" s="1258"/>
      <c r="BO180" s="1258"/>
      <c r="BP180" s="220"/>
      <c r="BQ180" s="1269"/>
      <c r="BR180" s="1258"/>
      <c r="BS180" s="220"/>
      <c r="BT180" s="1258"/>
      <c r="BU180" s="1258"/>
      <c r="BV180" s="220"/>
      <c r="BW180" s="1258"/>
      <c r="BX180" s="1258"/>
      <c r="BY180" s="218"/>
      <c r="BZ180" s="245"/>
      <c r="CB180" s="1258"/>
      <c r="CC180" s="1258"/>
      <c r="CD180" s="220"/>
      <c r="CE180" s="1269"/>
      <c r="CF180" s="1258"/>
      <c r="CG180" s="220"/>
      <c r="CH180" s="1258"/>
      <c r="CI180" s="1258"/>
      <c r="CJ180" s="220"/>
      <c r="CK180" s="1258"/>
      <c r="CL180" s="1258"/>
      <c r="CM180" s="218"/>
      <c r="CN180" s="245"/>
    </row>
    <row r="181" spans="2:92" ht="66.75" customHeight="1" x14ac:dyDescent="0.25">
      <c r="B181" s="1341"/>
      <c r="C181" s="1231"/>
      <c r="D181" s="1215"/>
      <c r="E181" s="1210"/>
      <c r="F181" s="1203"/>
      <c r="G181" s="308" t="str">
        <f>+'Plan de Accion apoyo transversa'!X182</f>
        <v>Solicitudes de autorización para el tratamiento de datos personales</v>
      </c>
      <c r="H181" s="240" t="str">
        <f>+'Plan de Accion apoyo transversa'!AK182</f>
        <v># Solicitudes desarrolladas e implementadas/ #solicitudes definidas</v>
      </c>
      <c r="I181" s="254"/>
      <c r="J181" s="230">
        <f>+'Plan de Accion apoyo transversa'!AT182</f>
        <v>0</v>
      </c>
      <c r="K181" s="549" t="str">
        <f>+'Plan de Accion apoyo transversa'!CE182</f>
        <v>No Prog ni Ejec</v>
      </c>
      <c r="L181" s="549" t="s">
        <v>204</v>
      </c>
      <c r="M181" s="549">
        <f>+'Plan de Accion apoyo transversa'!AX182</f>
        <v>0</v>
      </c>
      <c r="N181" s="549">
        <f>IF(M181&gt;100%,100%,M181)</f>
        <v>0</v>
      </c>
      <c r="O181" s="550" t="s">
        <v>204</v>
      </c>
      <c r="P181" s="229"/>
      <c r="Q181" s="230">
        <f>+'Plan de Accion apoyo transversa'!BD182</f>
        <v>0</v>
      </c>
      <c r="R181" s="266" t="str">
        <f>+'Plan de Accion apoyo transversa'!CG182</f>
        <v>No Prog ni Ejec</v>
      </c>
      <c r="S181" s="228" t="s">
        <v>204</v>
      </c>
      <c r="T181" s="549">
        <f>+'Plan de Accion apoyo transversa'!BH182</f>
        <v>0</v>
      </c>
      <c r="U181" s="549">
        <f t="shared" si="146"/>
        <v>0</v>
      </c>
      <c r="V181" s="227" t="s">
        <v>204</v>
      </c>
      <c r="W181" s="229"/>
      <c r="X181" s="230">
        <f>+'Plan de Accion apoyo transversa'!BN182</f>
        <v>0</v>
      </c>
      <c r="Y181" s="266">
        <f>+'Plan de Accion apoyo transversa'!CI182</f>
        <v>0</v>
      </c>
      <c r="Z181" s="228">
        <f>IF(Y181&gt;100%,100%,Y181)</f>
        <v>0</v>
      </c>
      <c r="AA181" s="233">
        <f>+'Plan de Accion apoyo transversa'!BR182</f>
        <v>0</v>
      </c>
      <c r="AB181" s="233">
        <f t="shared" si="147"/>
        <v>0</v>
      </c>
      <c r="AC181" s="232">
        <f>+AB181</f>
        <v>0</v>
      </c>
      <c r="AD181" s="229"/>
      <c r="AE181" s="230">
        <f>+'Plan de Accion apoyo transversa'!BX182</f>
        <v>0</v>
      </c>
      <c r="AF181" s="266">
        <f>+'Plan de Accion apoyo transversa'!CK182</f>
        <v>0</v>
      </c>
      <c r="AG181" s="228">
        <f t="shared" si="145"/>
        <v>0</v>
      </c>
      <c r="AH181" s="266">
        <f>+'Plan de Accion apoyo transversa'!CB182</f>
        <v>0</v>
      </c>
      <c r="AI181" s="227">
        <f t="shared" si="148"/>
        <v>0</v>
      </c>
      <c r="AJ181" s="246"/>
      <c r="AK181" s="253"/>
      <c r="AL181" s="1258"/>
      <c r="AM181" s="1258"/>
      <c r="AN181" s="220"/>
      <c r="AO181" s="1269"/>
      <c r="AP181" s="1258"/>
      <c r="AQ181" s="220"/>
      <c r="AR181" s="1258"/>
      <c r="AS181" s="1258"/>
      <c r="AT181" s="220"/>
      <c r="AU181" s="1258"/>
      <c r="AV181" s="1258"/>
      <c r="AW181" s="218"/>
      <c r="AX181" s="245"/>
      <c r="AY181" s="252"/>
      <c r="AZ181" s="1258"/>
      <c r="BA181" s="1258"/>
      <c r="BB181" s="220"/>
      <c r="BC181" s="1269"/>
      <c r="BD181" s="1258"/>
      <c r="BE181" s="220"/>
      <c r="BF181" s="1258"/>
      <c r="BG181" s="1258"/>
      <c r="BH181" s="220"/>
      <c r="BI181" s="1258"/>
      <c r="BJ181" s="1258"/>
      <c r="BK181" s="218"/>
      <c r="BL181" s="245"/>
      <c r="BN181" s="1258"/>
      <c r="BO181" s="1258"/>
      <c r="BP181" s="220"/>
      <c r="BQ181" s="1269"/>
      <c r="BR181" s="1258"/>
      <c r="BS181" s="220"/>
      <c r="BT181" s="1258"/>
      <c r="BU181" s="1258"/>
      <c r="BV181" s="220"/>
      <c r="BW181" s="1258"/>
      <c r="BX181" s="1258"/>
      <c r="BY181" s="218"/>
      <c r="BZ181" s="245"/>
      <c r="CB181" s="1258"/>
      <c r="CC181" s="1258"/>
      <c r="CD181" s="220"/>
      <c r="CE181" s="1269"/>
      <c r="CF181" s="1258"/>
      <c r="CG181" s="220"/>
      <c r="CH181" s="1258"/>
      <c r="CI181" s="1258"/>
      <c r="CJ181" s="220"/>
      <c r="CK181" s="1258"/>
      <c r="CL181" s="1258"/>
      <c r="CM181" s="218"/>
      <c r="CN181" s="245"/>
    </row>
    <row r="182" spans="2:92" ht="114" x14ac:dyDescent="0.25">
      <c r="B182" s="1341"/>
      <c r="C182" s="1231"/>
      <c r="D182" s="1215"/>
      <c r="E182" s="1210"/>
      <c r="F182" s="1202" t="s">
        <v>336</v>
      </c>
      <c r="G182" s="308" t="str">
        <f>+'Plan de Accion apoyo transversa'!X125</f>
        <v>Cooperación Interinstitucional con el Ministerio de Salud para la implementación del CENTRO ESPECIALIZADO DE SERVICIO AL CIUDADANO para las Entidades del Sector Salud</v>
      </c>
      <c r="H182" s="240" t="str">
        <f>+'Plan de Accion apoyo transversa'!AK125</f>
        <v># Mesas de trabajo en las que ADRES participó / # mesas de trabajo convocadas</v>
      </c>
      <c r="I182" s="254"/>
      <c r="J182" s="230">
        <f>+'Plan de Accion apoyo transversa'!AT125</f>
        <v>0.25</v>
      </c>
      <c r="K182" s="503">
        <f>+'Plan de Accion apoyo transversa'!CE125</f>
        <v>1</v>
      </c>
      <c r="L182" s="503">
        <f>IF(K182&gt;100%,100%,K182)</f>
        <v>1</v>
      </c>
      <c r="M182" s="503">
        <f>+'Plan de Accion apoyo transversa'!AX125</f>
        <v>0.25</v>
      </c>
      <c r="N182" s="503">
        <f t="shared" si="89"/>
        <v>0.25</v>
      </c>
      <c r="O182" s="505">
        <f>+N182</f>
        <v>0.25</v>
      </c>
      <c r="P182" s="229"/>
      <c r="Q182" s="230">
        <f>+'Plan de Accion apoyo transversa'!BD125</f>
        <v>0.25</v>
      </c>
      <c r="R182" s="266">
        <f>+'Plan de Accion apoyo transversa'!CG125</f>
        <v>1</v>
      </c>
      <c r="S182" s="228">
        <f>IF(R182&gt;100%,100%,R182)</f>
        <v>1</v>
      </c>
      <c r="T182" s="324">
        <f>+'Plan de Accion apoyo transversa'!BH125</f>
        <v>0.5</v>
      </c>
      <c r="U182" s="324">
        <f t="shared" si="146"/>
        <v>0.5</v>
      </c>
      <c r="V182" s="227">
        <f>+U182</f>
        <v>0.5</v>
      </c>
      <c r="W182" s="229"/>
      <c r="X182" s="230">
        <f>+'Plan de Accion apoyo transversa'!BN125</f>
        <v>0</v>
      </c>
      <c r="Y182" s="266">
        <f>+'Plan de Accion apoyo transversa'!CI125</f>
        <v>0</v>
      </c>
      <c r="Z182" s="228">
        <f>IF(Y182&gt;100%,100%,Y182)</f>
        <v>0</v>
      </c>
      <c r="AA182" s="233">
        <f>+'Plan de Accion apoyo transversa'!BR125</f>
        <v>0.5</v>
      </c>
      <c r="AB182" s="233">
        <f t="shared" si="147"/>
        <v>0.5</v>
      </c>
      <c r="AC182" s="232">
        <f>+AB182</f>
        <v>0.5</v>
      </c>
      <c r="AD182" s="229"/>
      <c r="AE182" s="230">
        <f>+'Plan de Accion apoyo transversa'!BX125</f>
        <v>0</v>
      </c>
      <c r="AF182" s="266">
        <f>+'Plan de Accion apoyo transversa'!CK125</f>
        <v>0</v>
      </c>
      <c r="AG182" s="228">
        <f t="shared" si="145"/>
        <v>0</v>
      </c>
      <c r="AH182" s="266">
        <f>+'Plan de Accion apoyo transversa'!CB125</f>
        <v>0.5</v>
      </c>
      <c r="AI182" s="227">
        <f t="shared" si="148"/>
        <v>0.5</v>
      </c>
      <c r="AJ182" s="246"/>
      <c r="AK182" s="253"/>
      <c r="AL182" s="1258"/>
      <c r="AM182" s="1258"/>
      <c r="AN182" s="220"/>
      <c r="AO182" s="1269"/>
      <c r="AP182" s="1258"/>
      <c r="AQ182" s="220"/>
      <c r="AR182" s="1258"/>
      <c r="AS182" s="1258"/>
      <c r="AT182" s="220"/>
      <c r="AU182" s="1258"/>
      <c r="AV182" s="1258"/>
      <c r="AW182" s="218"/>
      <c r="AX182" s="245"/>
      <c r="AY182" s="252"/>
      <c r="AZ182" s="1258"/>
      <c r="BA182" s="1258"/>
      <c r="BB182" s="220"/>
      <c r="BC182" s="1269"/>
      <c r="BD182" s="1258"/>
      <c r="BE182" s="220"/>
      <c r="BF182" s="1258"/>
      <c r="BG182" s="1258"/>
      <c r="BH182" s="220"/>
      <c r="BI182" s="1258"/>
      <c r="BJ182" s="1258"/>
      <c r="BK182" s="218"/>
      <c r="BL182" s="245"/>
      <c r="BN182" s="1258"/>
      <c r="BO182" s="1258"/>
      <c r="BP182" s="220"/>
      <c r="BQ182" s="1269"/>
      <c r="BR182" s="1258"/>
      <c r="BS182" s="220"/>
      <c r="BT182" s="1258"/>
      <c r="BU182" s="1258"/>
      <c r="BV182" s="220"/>
      <c r="BW182" s="1258"/>
      <c r="BX182" s="1258"/>
      <c r="BY182" s="218"/>
      <c r="BZ182" s="245"/>
      <c r="CB182" s="1258"/>
      <c r="CC182" s="1258"/>
      <c r="CD182" s="220"/>
      <c r="CE182" s="1269"/>
      <c r="CF182" s="1258"/>
      <c r="CG182" s="220"/>
      <c r="CH182" s="1258"/>
      <c r="CI182" s="1258"/>
      <c r="CJ182" s="220"/>
      <c r="CK182" s="1258"/>
      <c r="CL182" s="1258"/>
      <c r="CM182" s="218"/>
      <c r="CN182" s="245"/>
    </row>
    <row r="183" spans="2:92" ht="90" customHeight="1" x14ac:dyDescent="0.25">
      <c r="B183" s="1341"/>
      <c r="C183" s="1231"/>
      <c r="D183" s="1215"/>
      <c r="E183" s="1210"/>
      <c r="F183" s="1210"/>
      <c r="G183" s="308" t="str">
        <f>+'Plan de Accion apoyo transversa'!X126</f>
        <v>Seguimiento a la calidad y lenguaje claro de las respuestas dadas por los funcionarios a las PQRSD radicadas en la Entidad y presentar recomendaciones a las áreas competentes.</v>
      </c>
      <c r="H183" s="240" t="str">
        <f>+'Plan de Accion apoyo transversa'!AK126</f>
        <v># Recomendaciones realizadas / # PQRSD evaluadas</v>
      </c>
      <c r="I183" s="254"/>
      <c r="J183" s="230">
        <f>+'Plan de Accion apoyo transversa'!AT126</f>
        <v>0.25</v>
      </c>
      <c r="K183" s="503">
        <f>+'Plan de Accion apoyo transversa'!CE126</f>
        <v>1</v>
      </c>
      <c r="L183" s="503">
        <f t="shared" ref="L183:L199" si="149">IF(K183&gt;100%,100%,K183)</f>
        <v>1</v>
      </c>
      <c r="M183" s="503">
        <f>+'Plan de Accion apoyo transversa'!AX126</f>
        <v>0.25</v>
      </c>
      <c r="N183" s="503">
        <f t="shared" si="89"/>
        <v>0.25</v>
      </c>
      <c r="O183" s="505">
        <f t="shared" ref="O183:O191" si="150">+N183</f>
        <v>0.25</v>
      </c>
      <c r="P183" s="229"/>
      <c r="Q183" s="230">
        <f>+'Plan de Accion apoyo transversa'!BD126</f>
        <v>0.25</v>
      </c>
      <c r="R183" s="266">
        <f>+'Plan de Accion apoyo transversa'!CG126</f>
        <v>1</v>
      </c>
      <c r="S183" s="228">
        <f t="shared" ref="S183:S196" si="151">IF(R183&gt;100%,100%,R183)</f>
        <v>1</v>
      </c>
      <c r="T183" s="324">
        <f>+'Plan de Accion apoyo transversa'!BH126</f>
        <v>0.5</v>
      </c>
      <c r="U183" s="324">
        <f t="shared" ref="U183:U200" si="152">IF(T183&gt;100%,100%,T183)</f>
        <v>0.5</v>
      </c>
      <c r="V183" s="227">
        <f t="shared" ref="V183:V200" si="153">+U183</f>
        <v>0.5</v>
      </c>
      <c r="W183" s="229"/>
      <c r="X183" s="230">
        <f>+'Plan de Accion apoyo transversa'!BN126</f>
        <v>0</v>
      </c>
      <c r="Y183" s="266">
        <f>+'Plan de Accion apoyo transversa'!CI126</f>
        <v>0</v>
      </c>
      <c r="Z183" s="228">
        <f t="shared" ref="Z183:Z188" si="154">IF(Y183&gt;100%,100%,Y183)</f>
        <v>0</v>
      </c>
      <c r="AA183" s="233">
        <f>+'Plan de Accion apoyo transversa'!BR126</f>
        <v>0.5</v>
      </c>
      <c r="AB183" s="233">
        <f t="shared" ref="AB183:AB200" si="155">IF(AA183&gt;100%,100%,AA183)</f>
        <v>0.5</v>
      </c>
      <c r="AC183" s="232">
        <f t="shared" ref="AC183:AC200" si="156">+AB183</f>
        <v>0.5</v>
      </c>
      <c r="AD183" s="229"/>
      <c r="AE183" s="230">
        <f>+'Plan de Accion apoyo transversa'!BX126</f>
        <v>0</v>
      </c>
      <c r="AF183" s="266">
        <f>+'Plan de Accion apoyo transversa'!CK126</f>
        <v>0</v>
      </c>
      <c r="AG183" s="228">
        <f t="shared" si="145"/>
        <v>0</v>
      </c>
      <c r="AH183" s="266">
        <f>+'Plan de Accion apoyo transversa'!CB126</f>
        <v>0.5</v>
      </c>
      <c r="AI183" s="227">
        <f t="shared" ref="AI183:AI200" si="157">IF(AH183&gt;100%,100%,AH183)</f>
        <v>0.5</v>
      </c>
      <c r="AJ183" s="246"/>
      <c r="AK183" s="253"/>
      <c r="AL183" s="1258"/>
      <c r="AM183" s="1258"/>
      <c r="AN183" s="220"/>
      <c r="AO183" s="1269"/>
      <c r="AP183" s="1258"/>
      <c r="AQ183" s="220"/>
      <c r="AR183" s="1258"/>
      <c r="AS183" s="1258"/>
      <c r="AT183" s="220"/>
      <c r="AU183" s="1258"/>
      <c r="AV183" s="1258"/>
      <c r="AW183" s="218"/>
      <c r="AX183" s="245"/>
      <c r="AY183" s="252"/>
      <c r="AZ183" s="1258"/>
      <c r="BA183" s="1258"/>
      <c r="BB183" s="220"/>
      <c r="BC183" s="1269"/>
      <c r="BD183" s="1258"/>
      <c r="BE183" s="220"/>
      <c r="BF183" s="1258"/>
      <c r="BG183" s="1258"/>
      <c r="BH183" s="220"/>
      <c r="BI183" s="1258"/>
      <c r="BJ183" s="1258"/>
      <c r="BK183" s="218"/>
      <c r="BL183" s="245"/>
      <c r="BN183" s="1258"/>
      <c r="BO183" s="1258"/>
      <c r="BP183" s="220"/>
      <c r="BQ183" s="1269"/>
      <c r="BR183" s="1258"/>
      <c r="BS183" s="220"/>
      <c r="BT183" s="1258"/>
      <c r="BU183" s="1258"/>
      <c r="BV183" s="220"/>
      <c r="BW183" s="1258"/>
      <c r="BX183" s="1258"/>
      <c r="BY183" s="218"/>
      <c r="BZ183" s="245"/>
      <c r="CB183" s="1258"/>
      <c r="CC183" s="1258"/>
      <c r="CD183" s="220"/>
      <c r="CE183" s="1269"/>
      <c r="CF183" s="1258"/>
      <c r="CG183" s="220"/>
      <c r="CH183" s="1258"/>
      <c r="CI183" s="1258"/>
      <c r="CJ183" s="220"/>
      <c r="CK183" s="1258"/>
      <c r="CL183" s="1258"/>
      <c r="CM183" s="218"/>
      <c r="CN183" s="245"/>
    </row>
    <row r="184" spans="2:92" ht="112.5" customHeight="1" x14ac:dyDescent="0.25">
      <c r="B184" s="1341"/>
      <c r="C184" s="1231"/>
      <c r="D184" s="1215"/>
      <c r="E184" s="1210"/>
      <c r="F184" s="1210"/>
      <c r="G184" s="308" t="str">
        <f>+'Plan de Accion apoyo transversa'!X127</f>
        <v>Evaluar la satisfacción y percepción de los usuarios por el canal de atención presencial y virtual  en cuanto a los servicios brindados por la ADRES y socializar los resultados a las áreas involucradas para la generación de planes de mejoramiento.</v>
      </c>
      <c r="H184" s="240" t="str">
        <f>+'Plan de Accion apoyo transversa'!AK127</f>
        <v># Encuestas evaluadas como excelente / # encuestas realizadas</v>
      </c>
      <c r="I184" s="254"/>
      <c r="J184" s="230">
        <f>+'Plan de Accion apoyo transversa'!AT127</f>
        <v>0.22500000000000001</v>
      </c>
      <c r="K184" s="503">
        <f>+'Plan de Accion apoyo transversa'!CE127</f>
        <v>1</v>
      </c>
      <c r="L184" s="503">
        <f t="shared" si="149"/>
        <v>1</v>
      </c>
      <c r="M184" s="503">
        <f>+'Plan de Accion apoyo transversa'!AX127</f>
        <v>0.25</v>
      </c>
      <c r="N184" s="503">
        <f t="shared" si="89"/>
        <v>0.25</v>
      </c>
      <c r="O184" s="505">
        <f t="shared" si="150"/>
        <v>0.25</v>
      </c>
      <c r="P184" s="229"/>
      <c r="Q184" s="230">
        <f>+'Plan de Accion apoyo transversa'!BD127</f>
        <v>0.19522058823529412</v>
      </c>
      <c r="R184" s="266">
        <f>+'Plan de Accion apoyo transversa'!CG127</f>
        <v>0.86764705882352944</v>
      </c>
      <c r="S184" s="228">
        <f t="shared" si="151"/>
        <v>0.86764705882352944</v>
      </c>
      <c r="T184" s="324">
        <f>+'Plan de Accion apoyo transversa'!BH127</f>
        <v>0.46691176470588236</v>
      </c>
      <c r="U184" s="324">
        <f t="shared" si="152"/>
        <v>0.46691176470588236</v>
      </c>
      <c r="V184" s="227">
        <f t="shared" si="153"/>
        <v>0.46691176470588236</v>
      </c>
      <c r="W184" s="229"/>
      <c r="X184" s="230">
        <f>+'Plan de Accion apoyo transversa'!BN127</f>
        <v>0</v>
      </c>
      <c r="Y184" s="266">
        <f>+'Plan de Accion apoyo transversa'!CI127</f>
        <v>0</v>
      </c>
      <c r="Z184" s="228">
        <f t="shared" si="154"/>
        <v>0</v>
      </c>
      <c r="AA184" s="233">
        <f>+'Plan de Accion apoyo transversa'!BR127</f>
        <v>0.46691176470588236</v>
      </c>
      <c r="AB184" s="233">
        <f t="shared" si="155"/>
        <v>0.46691176470588236</v>
      </c>
      <c r="AC184" s="232">
        <f t="shared" si="156"/>
        <v>0.46691176470588236</v>
      </c>
      <c r="AD184" s="229"/>
      <c r="AE184" s="230">
        <f>+'Plan de Accion apoyo transversa'!BX127</f>
        <v>0</v>
      </c>
      <c r="AF184" s="266">
        <f>+'Plan de Accion apoyo transversa'!CK127</f>
        <v>0</v>
      </c>
      <c r="AG184" s="228">
        <f t="shared" si="145"/>
        <v>0</v>
      </c>
      <c r="AH184" s="266">
        <f>+'Plan de Accion apoyo transversa'!CB127</f>
        <v>0.46691176470588236</v>
      </c>
      <c r="AI184" s="227">
        <f t="shared" si="157"/>
        <v>0.46691176470588236</v>
      </c>
      <c r="AJ184" s="246"/>
      <c r="AK184" s="253"/>
      <c r="AL184" s="1258"/>
      <c r="AM184" s="1258"/>
      <c r="AN184" s="220"/>
      <c r="AO184" s="1269"/>
      <c r="AP184" s="1258"/>
      <c r="AQ184" s="220"/>
      <c r="AR184" s="1258"/>
      <c r="AS184" s="1258"/>
      <c r="AT184" s="220"/>
      <c r="AU184" s="1258"/>
      <c r="AV184" s="1258"/>
      <c r="AW184" s="218"/>
      <c r="AX184" s="245"/>
      <c r="AY184" s="252"/>
      <c r="AZ184" s="1258"/>
      <c r="BA184" s="1258"/>
      <c r="BB184" s="220"/>
      <c r="BC184" s="1269"/>
      <c r="BD184" s="1258"/>
      <c r="BE184" s="220"/>
      <c r="BF184" s="1258"/>
      <c r="BG184" s="1258"/>
      <c r="BH184" s="220"/>
      <c r="BI184" s="1258"/>
      <c r="BJ184" s="1258"/>
      <c r="BK184" s="218"/>
      <c r="BL184" s="245"/>
      <c r="BN184" s="1258"/>
      <c r="BO184" s="1258"/>
      <c r="BP184" s="220"/>
      <c r="BQ184" s="1269"/>
      <c r="BR184" s="1258"/>
      <c r="BS184" s="220"/>
      <c r="BT184" s="1258"/>
      <c r="BU184" s="1258"/>
      <c r="BV184" s="220"/>
      <c r="BW184" s="1258"/>
      <c r="BX184" s="1258"/>
      <c r="BY184" s="218"/>
      <c r="BZ184" s="245"/>
      <c r="CB184" s="1258"/>
      <c r="CC184" s="1258"/>
      <c r="CD184" s="220"/>
      <c r="CE184" s="1269"/>
      <c r="CF184" s="1258"/>
      <c r="CG184" s="220"/>
      <c r="CH184" s="1258"/>
      <c r="CI184" s="1258"/>
      <c r="CJ184" s="220"/>
      <c r="CK184" s="1258"/>
      <c r="CL184" s="1258"/>
      <c r="CM184" s="218"/>
      <c r="CN184" s="245"/>
    </row>
    <row r="185" spans="2:92" ht="93" customHeight="1" x14ac:dyDescent="0.25">
      <c r="B185" s="1341"/>
      <c r="C185" s="1231"/>
      <c r="D185" s="1215"/>
      <c r="E185" s="1210"/>
      <c r="F185" s="1210"/>
      <c r="G185" s="308" t="str">
        <f>+'Plan de Accion apoyo transversa'!X128</f>
        <v>Recomendaciones implementadas</v>
      </c>
      <c r="H185" s="240" t="str">
        <f>+'Plan de Accion apoyo transversa'!AK128</f>
        <v># Recomendaciones implementadas  / # recomendaciones aprobadas</v>
      </c>
      <c r="I185" s="254"/>
      <c r="J185" s="230">
        <f>+'Plan de Accion apoyo transversa'!AT128</f>
        <v>0</v>
      </c>
      <c r="K185" s="503" t="str">
        <f>+'Plan de Accion apoyo transversa'!CE128</f>
        <v>No Prog ni Ejec</v>
      </c>
      <c r="L185" s="503" t="s">
        <v>204</v>
      </c>
      <c r="M185" s="503">
        <f>+'Plan de Accion apoyo transversa'!AX128</f>
        <v>0</v>
      </c>
      <c r="N185" s="503">
        <f t="shared" si="89"/>
        <v>0</v>
      </c>
      <c r="O185" s="505" t="s">
        <v>204</v>
      </c>
      <c r="P185" s="229"/>
      <c r="Q185" s="230">
        <f>+'Plan de Accion apoyo transversa'!BD128</f>
        <v>0</v>
      </c>
      <c r="R185" s="266" t="str">
        <f>+'Plan de Accion apoyo transversa'!CG128</f>
        <v>No Prog ni Ejec</v>
      </c>
      <c r="S185" s="228" t="s">
        <v>204</v>
      </c>
      <c r="T185" s="324">
        <f>+'Plan de Accion apoyo transversa'!BH128</f>
        <v>0</v>
      </c>
      <c r="U185" s="324">
        <f t="shared" si="152"/>
        <v>0</v>
      </c>
      <c r="V185" s="227" t="s">
        <v>204</v>
      </c>
      <c r="W185" s="229"/>
      <c r="X185" s="230">
        <f>+'Plan de Accion apoyo transversa'!BN128</f>
        <v>0</v>
      </c>
      <c r="Y185" s="266">
        <f>+'Plan de Accion apoyo transversa'!CI128</f>
        <v>0</v>
      </c>
      <c r="Z185" s="228">
        <f t="shared" si="154"/>
        <v>0</v>
      </c>
      <c r="AA185" s="233">
        <f>+'Plan de Accion apoyo transversa'!BR128</f>
        <v>0</v>
      </c>
      <c r="AB185" s="233">
        <f t="shared" si="155"/>
        <v>0</v>
      </c>
      <c r="AC185" s="232">
        <f t="shared" si="156"/>
        <v>0</v>
      </c>
      <c r="AD185" s="229"/>
      <c r="AE185" s="230">
        <f>+'Plan de Accion apoyo transversa'!BX128</f>
        <v>0</v>
      </c>
      <c r="AF185" s="266">
        <f>+'Plan de Accion apoyo transversa'!CK128</f>
        <v>0</v>
      </c>
      <c r="AG185" s="228">
        <f t="shared" si="145"/>
        <v>0</v>
      </c>
      <c r="AH185" s="266">
        <f>+'Plan de Accion apoyo transversa'!CB128</f>
        <v>0</v>
      </c>
      <c r="AI185" s="227">
        <f t="shared" si="157"/>
        <v>0</v>
      </c>
      <c r="AJ185" s="246"/>
      <c r="AK185" s="253"/>
      <c r="AL185" s="1258"/>
      <c r="AM185" s="1258"/>
      <c r="AN185" s="220"/>
      <c r="AO185" s="1269"/>
      <c r="AP185" s="1258"/>
      <c r="AQ185" s="220"/>
      <c r="AR185" s="1258"/>
      <c r="AS185" s="1258"/>
      <c r="AT185" s="220"/>
      <c r="AU185" s="1258"/>
      <c r="AV185" s="1258"/>
      <c r="AW185" s="218"/>
      <c r="AX185" s="245"/>
      <c r="AY185" s="252"/>
      <c r="AZ185" s="1258"/>
      <c r="BA185" s="1258"/>
      <c r="BB185" s="220"/>
      <c r="BC185" s="1269"/>
      <c r="BD185" s="1258"/>
      <c r="BE185" s="220"/>
      <c r="BF185" s="1258"/>
      <c r="BG185" s="1258"/>
      <c r="BH185" s="220"/>
      <c r="BI185" s="1258"/>
      <c r="BJ185" s="1258"/>
      <c r="BK185" s="218"/>
      <c r="BL185" s="245"/>
      <c r="BN185" s="1258"/>
      <c r="BO185" s="1258"/>
      <c r="BP185" s="220"/>
      <c r="BQ185" s="1269"/>
      <c r="BR185" s="1258"/>
      <c r="BS185" s="220"/>
      <c r="BT185" s="1258"/>
      <c r="BU185" s="1258"/>
      <c r="BV185" s="220"/>
      <c r="BW185" s="1258"/>
      <c r="BX185" s="1258"/>
      <c r="BY185" s="218"/>
      <c r="BZ185" s="245"/>
      <c r="CB185" s="1258"/>
      <c r="CC185" s="1258"/>
      <c r="CD185" s="220"/>
      <c r="CE185" s="1269"/>
      <c r="CF185" s="1258"/>
      <c r="CG185" s="220"/>
      <c r="CH185" s="1258"/>
      <c r="CI185" s="1258"/>
      <c r="CJ185" s="220"/>
      <c r="CK185" s="1258"/>
      <c r="CL185" s="1258"/>
      <c r="CM185" s="218"/>
      <c r="CN185" s="245"/>
    </row>
    <row r="186" spans="2:92" ht="78" customHeight="1" x14ac:dyDescent="0.25">
      <c r="B186" s="1341"/>
      <c r="C186" s="1231"/>
      <c r="D186" s="1215"/>
      <c r="E186" s="1210"/>
      <c r="F186" s="1210"/>
      <c r="G186" s="308" t="str">
        <f>+'Plan de Accion apoyo transversa'!X129</f>
        <v>Participación de la ADRES en ferias de Servicio al Ciudadano programadas por el DNP-PNSC  y promocionar los servicios y realizar trámites de la Entidad</v>
      </c>
      <c r="H186" s="240" t="str">
        <f>+'Plan de Accion apoyo transversa'!AK129</f>
        <v># Ferias de servicio al ciudadano en las que ADRES participó / # Ferias de servicio al ciudadano programadas por el DNP-PNSC de interés para la ADRES</v>
      </c>
      <c r="I186" s="254"/>
      <c r="J186" s="230">
        <f>+'Plan de Accion apoyo transversa'!AT129</f>
        <v>0</v>
      </c>
      <c r="K186" s="503" t="str">
        <f>+'Plan de Accion apoyo transversa'!CE129</f>
        <v>No Prog ni Ejec</v>
      </c>
      <c r="L186" s="503" t="s">
        <v>204</v>
      </c>
      <c r="M186" s="503">
        <f>+'Plan de Accion apoyo transversa'!AX129</f>
        <v>0</v>
      </c>
      <c r="N186" s="503">
        <f t="shared" si="89"/>
        <v>0</v>
      </c>
      <c r="O186" s="505" t="s">
        <v>204</v>
      </c>
      <c r="P186" s="229"/>
      <c r="Q186" s="230">
        <f>+'Plan de Accion apoyo transversa'!BD129</f>
        <v>0</v>
      </c>
      <c r="R186" s="266">
        <f>+'Plan de Accion apoyo transversa'!CG129</f>
        <v>0</v>
      </c>
      <c r="S186" s="228">
        <f t="shared" si="151"/>
        <v>0</v>
      </c>
      <c r="T186" s="324">
        <f>+'Plan de Accion apoyo transversa'!BH129</f>
        <v>0</v>
      </c>
      <c r="U186" s="324">
        <f t="shared" si="152"/>
        <v>0</v>
      </c>
      <c r="V186" s="227">
        <f t="shared" si="153"/>
        <v>0</v>
      </c>
      <c r="W186" s="229"/>
      <c r="X186" s="230">
        <f>+'Plan de Accion apoyo transversa'!BN129</f>
        <v>0</v>
      </c>
      <c r="Y186" s="266">
        <f>+'Plan de Accion apoyo transversa'!CI129</f>
        <v>0</v>
      </c>
      <c r="Z186" s="228">
        <f t="shared" si="154"/>
        <v>0</v>
      </c>
      <c r="AA186" s="233">
        <f>+'Plan de Accion apoyo transversa'!BR129</f>
        <v>0</v>
      </c>
      <c r="AB186" s="233">
        <f t="shared" si="155"/>
        <v>0</v>
      </c>
      <c r="AC186" s="232">
        <f t="shared" si="156"/>
        <v>0</v>
      </c>
      <c r="AD186" s="229"/>
      <c r="AE186" s="230">
        <f>+'Plan de Accion apoyo transversa'!BX129</f>
        <v>0</v>
      </c>
      <c r="AF186" s="266">
        <f>+'Plan de Accion apoyo transversa'!CK129</f>
        <v>0</v>
      </c>
      <c r="AG186" s="228">
        <f t="shared" si="145"/>
        <v>0</v>
      </c>
      <c r="AH186" s="266">
        <f>+'Plan de Accion apoyo transversa'!CB129</f>
        <v>0</v>
      </c>
      <c r="AI186" s="227">
        <f t="shared" si="157"/>
        <v>0</v>
      </c>
      <c r="AJ186" s="246"/>
      <c r="AK186" s="253"/>
      <c r="AL186" s="1258"/>
      <c r="AM186" s="1258"/>
      <c r="AN186" s="220"/>
      <c r="AO186" s="1269"/>
      <c r="AP186" s="1258"/>
      <c r="AQ186" s="220"/>
      <c r="AR186" s="1258"/>
      <c r="AS186" s="1258"/>
      <c r="AT186" s="220"/>
      <c r="AU186" s="1258"/>
      <c r="AV186" s="1258"/>
      <c r="AW186" s="218"/>
      <c r="AX186" s="245"/>
      <c r="AY186" s="252"/>
      <c r="AZ186" s="1258"/>
      <c r="BA186" s="1258"/>
      <c r="BB186" s="220"/>
      <c r="BC186" s="1269"/>
      <c r="BD186" s="1258"/>
      <c r="BE186" s="220"/>
      <c r="BF186" s="1258"/>
      <c r="BG186" s="1258"/>
      <c r="BH186" s="220"/>
      <c r="BI186" s="1258"/>
      <c r="BJ186" s="1258"/>
      <c r="BK186" s="218"/>
      <c r="BL186" s="245"/>
      <c r="BN186" s="1258"/>
      <c r="BO186" s="1258"/>
      <c r="BP186" s="220"/>
      <c r="BQ186" s="1269"/>
      <c r="BR186" s="1258"/>
      <c r="BS186" s="220"/>
      <c r="BT186" s="1258"/>
      <c r="BU186" s="1258"/>
      <c r="BV186" s="220"/>
      <c r="BW186" s="1258"/>
      <c r="BX186" s="1258"/>
      <c r="BY186" s="218"/>
      <c r="BZ186" s="245"/>
      <c r="CB186" s="1258"/>
      <c r="CC186" s="1258"/>
      <c r="CD186" s="220"/>
      <c r="CE186" s="1269"/>
      <c r="CF186" s="1258"/>
      <c r="CG186" s="220"/>
      <c r="CH186" s="1258"/>
      <c r="CI186" s="1258"/>
      <c r="CJ186" s="220"/>
      <c r="CK186" s="1258"/>
      <c r="CL186" s="1258"/>
      <c r="CM186" s="218"/>
      <c r="CN186" s="245"/>
    </row>
    <row r="187" spans="2:92" ht="188.25" customHeight="1" x14ac:dyDescent="0.25">
      <c r="B187" s="1341"/>
      <c r="C187" s="1231"/>
      <c r="D187" s="1215"/>
      <c r="E187" s="1210"/>
      <c r="F187" s="1210"/>
      <c r="G187" s="308" t="str">
        <f>+'Plan de Accion apoyo transversa'!X130</f>
        <v xml:space="preserve">Informe semestral de acceso a información pública PQRS como lo establece la Ley 1474 de 2011. </v>
      </c>
      <c r="H187" s="240" t="str">
        <f>+'Plan de Accion apoyo transversa'!AK130</f>
        <v># Informes semestrales de acceso a información pública PQRS elaborados</v>
      </c>
      <c r="I187" s="254"/>
      <c r="J187" s="234">
        <f>+'Plan de Accion apoyo transversa'!AT130</f>
        <v>1</v>
      </c>
      <c r="K187" s="503">
        <f>+'Plan de Accion apoyo transversa'!CE130</f>
        <v>1</v>
      </c>
      <c r="L187" s="503">
        <f t="shared" si="149"/>
        <v>1</v>
      </c>
      <c r="M187" s="503">
        <f>+'Plan de Accion apoyo transversa'!AX130</f>
        <v>0.5</v>
      </c>
      <c r="N187" s="503">
        <f t="shared" si="89"/>
        <v>0.5</v>
      </c>
      <c r="O187" s="505">
        <f t="shared" si="150"/>
        <v>0.5</v>
      </c>
      <c r="P187" s="229"/>
      <c r="Q187" s="234">
        <f>+'Plan de Accion apoyo transversa'!BD130</f>
        <v>0</v>
      </c>
      <c r="R187" s="266" t="str">
        <f>+'Plan de Accion apoyo transversa'!CG130</f>
        <v>No Prog ni Ejec</v>
      </c>
      <c r="S187" s="228" t="s">
        <v>204</v>
      </c>
      <c r="T187" s="324">
        <f>+'Plan de Accion apoyo transversa'!BH130</f>
        <v>0.5</v>
      </c>
      <c r="U187" s="324">
        <f t="shared" si="152"/>
        <v>0.5</v>
      </c>
      <c r="V187" s="227">
        <f t="shared" si="153"/>
        <v>0.5</v>
      </c>
      <c r="W187" s="229"/>
      <c r="X187" s="234">
        <f>+'Plan de Accion apoyo transversa'!BN130</f>
        <v>0</v>
      </c>
      <c r="Y187" s="266">
        <f>+'Plan de Accion apoyo transversa'!CI130</f>
        <v>0</v>
      </c>
      <c r="Z187" s="228">
        <f t="shared" si="154"/>
        <v>0</v>
      </c>
      <c r="AA187" s="233">
        <f>+'Plan de Accion apoyo transversa'!BR130</f>
        <v>0.5</v>
      </c>
      <c r="AB187" s="233">
        <f t="shared" si="155"/>
        <v>0.5</v>
      </c>
      <c r="AC187" s="232">
        <f t="shared" si="156"/>
        <v>0.5</v>
      </c>
      <c r="AD187" s="229"/>
      <c r="AE187" s="235">
        <f>+'Plan de Accion apoyo transversa'!BX130</f>
        <v>0</v>
      </c>
      <c r="AF187" s="266" t="str">
        <f>+'Plan de Accion apoyo transversa'!CK130</f>
        <v>No Prog ni Ejec</v>
      </c>
      <c r="AG187" s="228" t="s">
        <v>204</v>
      </c>
      <c r="AH187" s="266">
        <f>+'Plan de Accion apoyo transversa'!CB130</f>
        <v>0.5</v>
      </c>
      <c r="AI187" s="227">
        <f t="shared" si="157"/>
        <v>0.5</v>
      </c>
      <c r="AJ187" s="246"/>
      <c r="AK187" s="253"/>
      <c r="AL187" s="1258"/>
      <c r="AM187" s="1258"/>
      <c r="AN187" s="220"/>
      <c r="AO187" s="1269"/>
      <c r="AP187" s="1258"/>
      <c r="AQ187" s="220"/>
      <c r="AR187" s="1258"/>
      <c r="AS187" s="1258"/>
      <c r="AT187" s="220"/>
      <c r="AU187" s="1258"/>
      <c r="AV187" s="1258"/>
      <c r="AW187" s="218"/>
      <c r="AX187" s="245"/>
      <c r="AY187" s="252"/>
      <c r="AZ187" s="1258"/>
      <c r="BA187" s="1258"/>
      <c r="BB187" s="220"/>
      <c r="BC187" s="1269"/>
      <c r="BD187" s="1258"/>
      <c r="BE187" s="220"/>
      <c r="BF187" s="1258"/>
      <c r="BG187" s="1258"/>
      <c r="BH187" s="220"/>
      <c r="BI187" s="1258"/>
      <c r="BJ187" s="1258"/>
      <c r="BK187" s="218"/>
      <c r="BL187" s="245"/>
      <c r="BN187" s="1258"/>
      <c r="BO187" s="1258"/>
      <c r="BP187" s="220"/>
      <c r="BQ187" s="1269"/>
      <c r="BR187" s="1258"/>
      <c r="BS187" s="220"/>
      <c r="BT187" s="1258"/>
      <c r="BU187" s="1258"/>
      <c r="BV187" s="220"/>
      <c r="BW187" s="1258"/>
      <c r="BX187" s="1258"/>
      <c r="BY187" s="218"/>
      <c r="BZ187" s="245"/>
      <c r="CB187" s="1258"/>
      <c r="CC187" s="1258"/>
      <c r="CD187" s="220"/>
      <c r="CE187" s="1269"/>
      <c r="CF187" s="1258"/>
      <c r="CG187" s="220"/>
      <c r="CH187" s="1258"/>
      <c r="CI187" s="1258"/>
      <c r="CJ187" s="220"/>
      <c r="CK187" s="1258"/>
      <c r="CL187" s="1258"/>
      <c r="CM187" s="218"/>
      <c r="CN187" s="245"/>
    </row>
    <row r="188" spans="2:92" ht="52.5" customHeight="1" x14ac:dyDescent="0.25">
      <c r="B188" s="1341"/>
      <c r="C188" s="1231"/>
      <c r="D188" s="1215"/>
      <c r="E188" s="1210"/>
      <c r="F188" s="1210"/>
      <c r="G188" s="308" t="str">
        <f>+'Plan de Accion apoyo transversa'!X131</f>
        <v>Consolidar la información de la atención de Quejas, Peticiones, Reclamos y Sugerencias y elaborar informes trimestrales.</v>
      </c>
      <c r="H188" s="240" t="str">
        <f>+'Plan de Accion apoyo transversa'!AK131</f>
        <v># Informes trimestrales elaborados y socializado</v>
      </c>
      <c r="I188" s="254"/>
      <c r="J188" s="234">
        <f>+'Plan de Accion apoyo transversa'!AT131</f>
        <v>1</v>
      </c>
      <c r="K188" s="503">
        <f>+'Plan de Accion apoyo transversa'!CE131</f>
        <v>1</v>
      </c>
      <c r="L188" s="503">
        <f t="shared" si="149"/>
        <v>1</v>
      </c>
      <c r="M188" s="503">
        <f>+'Plan de Accion apoyo transversa'!AX131</f>
        <v>0.25</v>
      </c>
      <c r="N188" s="503">
        <f t="shared" si="89"/>
        <v>0.25</v>
      </c>
      <c r="O188" s="505">
        <f t="shared" si="150"/>
        <v>0.25</v>
      </c>
      <c r="P188" s="229"/>
      <c r="Q188" s="234">
        <f>+'Plan de Accion apoyo transversa'!BD131</f>
        <v>1</v>
      </c>
      <c r="R188" s="266">
        <f>+'Plan de Accion apoyo transversa'!CG131</f>
        <v>1</v>
      </c>
      <c r="S188" s="228">
        <f t="shared" si="151"/>
        <v>1</v>
      </c>
      <c r="T188" s="324">
        <f>+'Plan de Accion apoyo transversa'!BH131</f>
        <v>0.5</v>
      </c>
      <c r="U188" s="324">
        <f t="shared" si="152"/>
        <v>0.5</v>
      </c>
      <c r="V188" s="227">
        <f t="shared" si="153"/>
        <v>0.5</v>
      </c>
      <c r="W188" s="229"/>
      <c r="X188" s="234">
        <f>+'Plan de Accion apoyo transversa'!BN131</f>
        <v>0</v>
      </c>
      <c r="Y188" s="266">
        <f>+'Plan de Accion apoyo transversa'!CI131</f>
        <v>0</v>
      </c>
      <c r="Z188" s="228">
        <f t="shared" si="154"/>
        <v>0</v>
      </c>
      <c r="AA188" s="233">
        <f>+'Plan de Accion apoyo transversa'!BR131</f>
        <v>0.5</v>
      </c>
      <c r="AB188" s="233">
        <f t="shared" si="155"/>
        <v>0.5</v>
      </c>
      <c r="AC188" s="232">
        <f>+AB188</f>
        <v>0.5</v>
      </c>
      <c r="AD188" s="229"/>
      <c r="AE188" s="235">
        <f>+'Plan de Accion apoyo transversa'!BX131</f>
        <v>0</v>
      </c>
      <c r="AF188" s="266">
        <f>+'Plan de Accion apoyo transversa'!CK131</f>
        <v>0</v>
      </c>
      <c r="AG188" s="228">
        <f t="shared" si="145"/>
        <v>0</v>
      </c>
      <c r="AH188" s="266">
        <f>+'Plan de Accion apoyo transversa'!CB131</f>
        <v>0.5</v>
      </c>
      <c r="AI188" s="227">
        <f t="shared" si="157"/>
        <v>0.5</v>
      </c>
      <c r="AJ188" s="246"/>
      <c r="AK188" s="253"/>
      <c r="AL188" s="1258"/>
      <c r="AM188" s="1258"/>
      <c r="AN188" s="220"/>
      <c r="AO188" s="1269"/>
      <c r="AP188" s="1258"/>
      <c r="AQ188" s="220"/>
      <c r="AR188" s="1258"/>
      <c r="AS188" s="1258"/>
      <c r="AT188" s="220"/>
      <c r="AU188" s="1258"/>
      <c r="AV188" s="1258"/>
      <c r="AW188" s="218"/>
      <c r="AX188" s="245"/>
      <c r="AY188" s="252"/>
      <c r="AZ188" s="1258"/>
      <c r="BA188" s="1258"/>
      <c r="BB188" s="220"/>
      <c r="BC188" s="1269"/>
      <c r="BD188" s="1258"/>
      <c r="BE188" s="220"/>
      <c r="BF188" s="1258"/>
      <c r="BG188" s="1258"/>
      <c r="BH188" s="220"/>
      <c r="BI188" s="1258"/>
      <c r="BJ188" s="1258"/>
      <c r="BK188" s="218"/>
      <c r="BL188" s="245"/>
      <c r="BN188" s="1258"/>
      <c r="BO188" s="1258"/>
      <c r="BP188" s="220"/>
      <c r="BQ188" s="1269"/>
      <c r="BR188" s="1258"/>
      <c r="BS188" s="220"/>
      <c r="BT188" s="1258"/>
      <c r="BU188" s="1258"/>
      <c r="BV188" s="220"/>
      <c r="BW188" s="1258"/>
      <c r="BX188" s="1258"/>
      <c r="BY188" s="218"/>
      <c r="BZ188" s="245"/>
      <c r="CB188" s="1258"/>
      <c r="CC188" s="1258"/>
      <c r="CD188" s="220"/>
      <c r="CE188" s="1269"/>
      <c r="CF188" s="1258"/>
      <c r="CG188" s="220"/>
      <c r="CH188" s="1258"/>
      <c r="CI188" s="1258"/>
      <c r="CJ188" s="220"/>
      <c r="CK188" s="1258"/>
      <c r="CL188" s="1258"/>
      <c r="CM188" s="218"/>
      <c r="CN188" s="245"/>
    </row>
    <row r="189" spans="2:92" ht="84" customHeight="1" x14ac:dyDescent="0.25">
      <c r="B189" s="1341"/>
      <c r="C189" s="1231"/>
      <c r="D189" s="1215"/>
      <c r="E189" s="1203"/>
      <c r="F189" s="1203"/>
      <c r="G189" s="308" t="str">
        <f>+'Plan de Accion apoyo transversa'!X132</f>
        <v>Resoluciones de Apertura</v>
      </c>
      <c r="H189" s="240" t="str">
        <f>+'Plan de Accion apoyo transversa'!AK132</f>
        <v># Actos administrativos  / # procesos licitatorios previstos para la vigencia 2019</v>
      </c>
      <c r="I189" s="254"/>
      <c r="J189" s="230">
        <f>+'Plan de Accion apoyo transversa'!AT132</f>
        <v>0</v>
      </c>
      <c r="K189" s="503" t="str">
        <f>+'Plan de Accion apoyo transversa'!CE132</f>
        <v>No Prog ni Ejec</v>
      </c>
      <c r="L189" s="503" t="s">
        <v>204</v>
      </c>
      <c r="M189" s="503">
        <f>+'Plan de Accion apoyo transversa'!AX132</f>
        <v>0</v>
      </c>
      <c r="N189" s="503">
        <f t="shared" si="89"/>
        <v>0</v>
      </c>
      <c r="O189" s="505" t="s">
        <v>204</v>
      </c>
      <c r="P189" s="229"/>
      <c r="Q189" s="230">
        <f>+'Plan de Accion apoyo transversa'!BD132</f>
        <v>0</v>
      </c>
      <c r="R189" s="266" t="str">
        <f>+'Plan de Accion apoyo transversa'!CG132</f>
        <v>No Prog ni Ejec</v>
      </c>
      <c r="S189" s="228" t="s">
        <v>204</v>
      </c>
      <c r="T189" s="324">
        <f>+'Plan de Accion apoyo transversa'!BH132</f>
        <v>0</v>
      </c>
      <c r="U189" s="324">
        <f t="shared" si="152"/>
        <v>0</v>
      </c>
      <c r="V189" s="227" t="s">
        <v>204</v>
      </c>
      <c r="W189" s="229"/>
      <c r="X189" s="230">
        <f>+'Plan de Accion apoyo transversa'!BN132</f>
        <v>0</v>
      </c>
      <c r="Y189" s="266" t="str">
        <f>+'Plan de Accion apoyo transversa'!CI132</f>
        <v>No Prog ni Ejec</v>
      </c>
      <c r="Z189" s="228" t="s">
        <v>204</v>
      </c>
      <c r="AA189" s="233">
        <f>+'Plan de Accion apoyo transversa'!BR132</f>
        <v>0</v>
      </c>
      <c r="AB189" s="233">
        <f t="shared" si="155"/>
        <v>0</v>
      </c>
      <c r="AC189" s="232" t="s">
        <v>204</v>
      </c>
      <c r="AD189" s="229"/>
      <c r="AE189" s="230">
        <f>+'Plan de Accion apoyo transversa'!BX132</f>
        <v>0</v>
      </c>
      <c r="AF189" s="266">
        <f>+'Plan de Accion apoyo transversa'!CK132</f>
        <v>0</v>
      </c>
      <c r="AG189" s="228">
        <f t="shared" si="145"/>
        <v>0</v>
      </c>
      <c r="AH189" s="266">
        <f>+'Plan de Accion apoyo transversa'!CB132</f>
        <v>0</v>
      </c>
      <c r="AI189" s="227">
        <f t="shared" si="157"/>
        <v>0</v>
      </c>
      <c r="AJ189" s="246"/>
      <c r="AK189" s="253"/>
      <c r="AL189" s="1258"/>
      <c r="AM189" s="1258"/>
      <c r="AN189" s="220"/>
      <c r="AO189" s="1269"/>
      <c r="AP189" s="1258"/>
      <c r="AQ189" s="220"/>
      <c r="AR189" s="1258"/>
      <c r="AS189" s="1258"/>
      <c r="AT189" s="220"/>
      <c r="AU189" s="1258"/>
      <c r="AV189" s="1258"/>
      <c r="AW189" s="218"/>
      <c r="AX189" s="245"/>
      <c r="AY189" s="252"/>
      <c r="AZ189" s="1258"/>
      <c r="BA189" s="1258"/>
      <c r="BB189" s="220"/>
      <c r="BC189" s="1269"/>
      <c r="BD189" s="1258"/>
      <c r="BE189" s="220"/>
      <c r="BF189" s="1258"/>
      <c r="BG189" s="1258"/>
      <c r="BH189" s="220"/>
      <c r="BI189" s="1258"/>
      <c r="BJ189" s="1258"/>
      <c r="BK189" s="218"/>
      <c r="BL189" s="245"/>
      <c r="BN189" s="1258"/>
      <c r="BO189" s="1258"/>
      <c r="BP189" s="220"/>
      <c r="BQ189" s="1269"/>
      <c r="BR189" s="1258"/>
      <c r="BS189" s="220"/>
      <c r="BT189" s="1258"/>
      <c r="BU189" s="1258"/>
      <c r="BV189" s="220"/>
      <c r="BW189" s="1258"/>
      <c r="BX189" s="1258"/>
      <c r="BY189" s="218"/>
      <c r="BZ189" s="245"/>
      <c r="CB189" s="1258"/>
      <c r="CC189" s="1258"/>
      <c r="CD189" s="220"/>
      <c r="CE189" s="1269"/>
      <c r="CF189" s="1258"/>
      <c r="CG189" s="220"/>
      <c r="CH189" s="1258"/>
      <c r="CI189" s="1258"/>
      <c r="CJ189" s="220"/>
      <c r="CK189" s="1258"/>
      <c r="CL189" s="1258"/>
      <c r="CM189" s="218"/>
      <c r="CN189" s="245"/>
    </row>
    <row r="190" spans="2:92" ht="84" customHeight="1" x14ac:dyDescent="0.25">
      <c r="B190" s="1341"/>
      <c r="C190" s="1231"/>
      <c r="D190" s="1216"/>
      <c r="E190" s="942" t="s">
        <v>230</v>
      </c>
      <c r="F190" s="628" t="s">
        <v>529</v>
      </c>
      <c r="G190" s="308" t="str">
        <f>+'Plan de Accion apoyo transversa'!X182</f>
        <v>Solicitudes de autorización para el tratamiento de datos personales</v>
      </c>
      <c r="H190" s="240" t="str">
        <f>+'Plan de Accion apoyo transversa'!AK182</f>
        <v># Solicitudes desarrolladas e implementadas/ #solicitudes definidas</v>
      </c>
      <c r="I190" s="254"/>
      <c r="J190" s="230">
        <f>+'Plan de Accion apoyo transversa'!AT182</f>
        <v>0</v>
      </c>
      <c r="K190" s="503" t="str">
        <f>+'Plan de Accion apoyo transversa'!CE182</f>
        <v>No Prog ni Ejec</v>
      </c>
      <c r="L190" s="503" t="s">
        <v>204</v>
      </c>
      <c r="M190" s="503">
        <f>+'Plan de Accion apoyo transversa'!AX182</f>
        <v>0</v>
      </c>
      <c r="N190" s="503">
        <f>IF(M190&gt;100%,100%,M190)</f>
        <v>0</v>
      </c>
      <c r="O190" s="505" t="s">
        <v>204</v>
      </c>
      <c r="P190" s="229"/>
      <c r="Q190" s="230">
        <f>+'Plan de Accion apoyo transversa'!BD182</f>
        <v>0</v>
      </c>
      <c r="R190" s="266" t="str">
        <f>+'Plan de Accion apoyo transversa'!CG182</f>
        <v>No Prog ni Ejec</v>
      </c>
      <c r="S190" s="228" t="s">
        <v>204</v>
      </c>
      <c r="T190" s="503">
        <f>+'Plan de Accion apoyo transversa'!BH182</f>
        <v>0</v>
      </c>
      <c r="U190" s="503">
        <f>IF(T190&gt;100%,100%,T190)</f>
        <v>0</v>
      </c>
      <c r="V190" s="227" t="s">
        <v>204</v>
      </c>
      <c r="W190" s="229"/>
      <c r="X190" s="230">
        <f>+'Plan de Accion apoyo transversa'!BN182</f>
        <v>0</v>
      </c>
      <c r="Y190" s="266">
        <f>+'Plan de Accion apoyo transversa'!CI182</f>
        <v>0</v>
      </c>
      <c r="Z190" s="228">
        <f>IF(Y190&gt;100%,100%,Y190)</f>
        <v>0</v>
      </c>
      <c r="AA190" s="233">
        <f>+'Plan de Accion apoyo transversa'!BR182</f>
        <v>0</v>
      </c>
      <c r="AB190" s="233">
        <f>IF(AA190&gt;100%,100%,AA190)</f>
        <v>0</v>
      </c>
      <c r="AC190" s="232">
        <f>+AB190</f>
        <v>0</v>
      </c>
      <c r="AD190" s="229"/>
      <c r="AE190" s="230">
        <f>+'Plan de Accion apoyo transversa'!BX182</f>
        <v>0</v>
      </c>
      <c r="AF190" s="266">
        <f>+'Plan de Accion apoyo transversa'!CK182</f>
        <v>0</v>
      </c>
      <c r="AG190" s="228">
        <f>IF(AF190&gt;100%,100%,AF190)</f>
        <v>0</v>
      </c>
      <c r="AH190" s="266">
        <f>+'Plan de Accion apoyo transversa'!CB182</f>
        <v>0</v>
      </c>
      <c r="AI190" s="227">
        <f>IF(AH190&gt;100%,100%,AH190)</f>
        <v>0</v>
      </c>
      <c r="AJ190" s="246"/>
      <c r="AK190" s="253"/>
      <c r="AL190" s="1258"/>
      <c r="AM190" s="1258"/>
      <c r="AN190" s="220"/>
      <c r="AO190" s="1269"/>
      <c r="AP190" s="1258"/>
      <c r="AQ190" s="220"/>
      <c r="AR190" s="1258"/>
      <c r="AS190" s="1258"/>
      <c r="AT190" s="220"/>
      <c r="AU190" s="1258"/>
      <c r="AV190" s="1258"/>
      <c r="AW190" s="218"/>
      <c r="AX190" s="245"/>
      <c r="AY190" s="252"/>
      <c r="AZ190" s="1258"/>
      <c r="BA190" s="1258"/>
      <c r="BB190" s="220"/>
      <c r="BC190" s="1269"/>
      <c r="BD190" s="1258"/>
      <c r="BE190" s="220"/>
      <c r="BF190" s="1258"/>
      <c r="BG190" s="1258"/>
      <c r="BH190" s="220"/>
      <c r="BI190" s="1258"/>
      <c r="BJ190" s="1258"/>
      <c r="BK190" s="218"/>
      <c r="BL190" s="245"/>
      <c r="BN190" s="1258"/>
      <c r="BO190" s="1258"/>
      <c r="BP190" s="220"/>
      <c r="BQ190" s="1269"/>
      <c r="BR190" s="1258"/>
      <c r="BS190" s="220"/>
      <c r="BT190" s="1258"/>
      <c r="BU190" s="1258"/>
      <c r="BV190" s="220"/>
      <c r="BW190" s="1258"/>
      <c r="BX190" s="1258"/>
      <c r="BY190" s="218"/>
      <c r="BZ190" s="245"/>
      <c r="CB190" s="1258"/>
      <c r="CC190" s="1258"/>
      <c r="CD190" s="220"/>
      <c r="CE190" s="1269"/>
      <c r="CF190" s="1258"/>
      <c r="CG190" s="220"/>
      <c r="CH190" s="1258"/>
      <c r="CI190" s="1258"/>
      <c r="CJ190" s="220"/>
      <c r="CK190" s="1258"/>
      <c r="CL190" s="1258"/>
      <c r="CM190" s="218"/>
      <c r="CN190" s="245"/>
    </row>
    <row r="191" spans="2:92" ht="97.5" customHeight="1" x14ac:dyDescent="0.25">
      <c r="B191" s="1341"/>
      <c r="C191" s="1231"/>
      <c r="D191" s="1202" t="s">
        <v>204</v>
      </c>
      <c r="E191" s="1211" t="s">
        <v>230</v>
      </c>
      <c r="F191" s="355" t="s">
        <v>330</v>
      </c>
      <c r="G191" s="308" t="str">
        <f>+'Plan de Accion apoyo transversa'!X134</f>
        <v xml:space="preserve">Servicios de Mesa de Ayuda </v>
      </c>
      <c r="H191" s="240" t="str">
        <f>+'Plan de Accion apoyo transversa'!AK134</f>
        <v># Casos de primer nivel atendidos en términos de ANS para el trimestre/ # Casos de primer nivel recibidos con vencimiento de ANS durante el trimestre.</v>
      </c>
      <c r="I191" s="254"/>
      <c r="J191" s="230">
        <f>+'Plan de Accion apoyo transversa'!AT134</f>
        <v>0.22500000000000001</v>
      </c>
      <c r="K191" s="503">
        <f>+'Plan de Accion apoyo transversa'!CE134</f>
        <v>1</v>
      </c>
      <c r="L191" s="503">
        <f t="shared" si="149"/>
        <v>1</v>
      </c>
      <c r="M191" s="503">
        <f>+'Plan de Accion apoyo transversa'!AX134</f>
        <v>0.25</v>
      </c>
      <c r="N191" s="503">
        <f t="shared" si="89"/>
        <v>0.25</v>
      </c>
      <c r="O191" s="505">
        <f t="shared" si="150"/>
        <v>0.25</v>
      </c>
      <c r="P191" s="229"/>
      <c r="Q191" s="230" t="s">
        <v>204</v>
      </c>
      <c r="R191" s="266" t="s">
        <v>180</v>
      </c>
      <c r="S191" s="228" t="s">
        <v>204</v>
      </c>
      <c r="T191" s="760">
        <f>+'Plan de Accion apoyo transversa'!BH134</f>
        <v>0.25</v>
      </c>
      <c r="U191" s="760">
        <f>IF(T191&gt;100%,100%,T191)</f>
        <v>0.25</v>
      </c>
      <c r="V191" s="227">
        <f>+U191</f>
        <v>0.25</v>
      </c>
      <c r="W191" s="229"/>
      <c r="X191" s="230" t="s">
        <v>204</v>
      </c>
      <c r="Y191" s="266" t="s">
        <v>180</v>
      </c>
      <c r="Z191" s="228" t="s">
        <v>204</v>
      </c>
      <c r="AA191" s="233">
        <f>+'Plan de Accion apoyo transversa'!BR134</f>
        <v>0.25</v>
      </c>
      <c r="AB191" s="233">
        <f>IF(AA191&gt;100%,100%,AA191)</f>
        <v>0.25</v>
      </c>
      <c r="AC191" s="232">
        <f t="shared" si="156"/>
        <v>0.25</v>
      </c>
      <c r="AD191" s="229"/>
      <c r="AE191" s="230" t="s">
        <v>204</v>
      </c>
      <c r="AF191" s="266" t="s">
        <v>180</v>
      </c>
      <c r="AG191" s="228" t="s">
        <v>204</v>
      </c>
      <c r="AH191" s="266">
        <f>+'Plan de Accion apoyo transversa'!CB134</f>
        <v>0.25</v>
      </c>
      <c r="AI191" s="227">
        <f>IF(AH191&gt;100%,100%,AH191)</f>
        <v>0.25</v>
      </c>
      <c r="AJ191" s="246"/>
      <c r="AK191" s="253"/>
      <c r="AL191" s="1258"/>
      <c r="AM191" s="1258"/>
      <c r="AN191" s="220"/>
      <c r="AO191" s="1269"/>
      <c r="AP191" s="1258"/>
      <c r="AQ191" s="220"/>
      <c r="AR191" s="1258"/>
      <c r="AS191" s="1258"/>
      <c r="AT191" s="220"/>
      <c r="AU191" s="1258"/>
      <c r="AV191" s="1258"/>
      <c r="AW191" s="218"/>
      <c r="AX191" s="245"/>
      <c r="AY191" s="252"/>
      <c r="AZ191" s="1258"/>
      <c r="BA191" s="1258"/>
      <c r="BB191" s="220"/>
      <c r="BC191" s="1269"/>
      <c r="BD191" s="1258"/>
      <c r="BE191" s="220"/>
      <c r="BF191" s="1258"/>
      <c r="BG191" s="1258"/>
      <c r="BH191" s="220"/>
      <c r="BI191" s="1258"/>
      <c r="BJ191" s="1258"/>
      <c r="BK191" s="218"/>
      <c r="BL191" s="245"/>
      <c r="BN191" s="1258"/>
      <c r="BO191" s="1258"/>
      <c r="BP191" s="220"/>
      <c r="BQ191" s="1269"/>
      <c r="BR191" s="1258"/>
      <c r="BS191" s="220"/>
      <c r="BT191" s="1258"/>
      <c r="BU191" s="1258"/>
      <c r="BV191" s="220"/>
      <c r="BW191" s="1258"/>
      <c r="BX191" s="1258"/>
      <c r="BY191" s="218"/>
      <c r="BZ191" s="245"/>
      <c r="CB191" s="1258"/>
      <c r="CC191" s="1258"/>
      <c r="CD191" s="220"/>
      <c r="CE191" s="1269"/>
      <c r="CF191" s="1258"/>
      <c r="CG191" s="220"/>
      <c r="CH191" s="1258"/>
      <c r="CI191" s="1258"/>
      <c r="CJ191" s="220"/>
      <c r="CK191" s="1258"/>
      <c r="CL191" s="1258"/>
      <c r="CM191" s="218"/>
      <c r="CN191" s="245"/>
    </row>
    <row r="192" spans="2:92" ht="79.5" customHeight="1" x14ac:dyDescent="0.25">
      <c r="B192" s="1341"/>
      <c r="C192" s="1231"/>
      <c r="D192" s="1210"/>
      <c r="E192" s="1212"/>
      <c r="F192" s="577" t="s">
        <v>529</v>
      </c>
      <c r="G192" s="308" t="str">
        <f>+'Plan de Accion apoyo transversa'!X181</f>
        <v>Registro de las bases de datos con datos personales ante la Superintendencia de Industria y Comercio - SIC</v>
      </c>
      <c r="H192" s="240" t="str">
        <f>+'Plan de Accion apoyo transversa'!AK181</f>
        <v># Registros realizados ante la SIC</v>
      </c>
      <c r="I192" s="254"/>
      <c r="J192" s="230">
        <f>+'Plan de Accion apoyo transversa'!AT181</f>
        <v>1</v>
      </c>
      <c r="K192" s="503">
        <f>+'Plan de Accion apoyo transversa'!CE181</f>
        <v>1</v>
      </c>
      <c r="L192" s="503">
        <f>IF(K192&gt;100%,100%,K192)</f>
        <v>1</v>
      </c>
      <c r="M192" s="503">
        <f>+'Plan de Accion apoyo transversa'!AX181</f>
        <v>1</v>
      </c>
      <c r="N192" s="503">
        <f>IF(M192&gt;100%,100%,M192)</f>
        <v>1</v>
      </c>
      <c r="O192" s="505">
        <f>+N192</f>
        <v>1</v>
      </c>
      <c r="P192" s="229"/>
      <c r="Q192" s="230">
        <f>+'Plan de Accion apoyo transversa'!BD181</f>
        <v>0</v>
      </c>
      <c r="R192" s="266" t="str">
        <f>+'Plan de Accion apoyo transversa'!CG181</f>
        <v>No Prog ni Ejec</v>
      </c>
      <c r="S192" s="228" t="s">
        <v>204</v>
      </c>
      <c r="T192" s="503">
        <f>+'Plan de Accion apoyo transversa'!BH181</f>
        <v>1</v>
      </c>
      <c r="U192" s="503">
        <f>IF(T192&gt;100%,100%,T192)</f>
        <v>1</v>
      </c>
      <c r="V192" s="227" t="s">
        <v>204</v>
      </c>
      <c r="W192" s="229"/>
      <c r="X192" s="230">
        <f>+'Plan de Accion apoyo transversa'!BN181</f>
        <v>0</v>
      </c>
      <c r="Y192" s="266" t="str">
        <f>+'Plan de Accion apoyo transversa'!CI181</f>
        <v>No Prog ni Ejec</v>
      </c>
      <c r="Z192" s="228" t="s">
        <v>204</v>
      </c>
      <c r="AA192" s="233">
        <f>+'Plan de Accion apoyo transversa'!BR181</f>
        <v>1</v>
      </c>
      <c r="AB192" s="233">
        <f>IF(AA192&gt;100%,100%,AA192)</f>
        <v>1</v>
      </c>
      <c r="AC192" s="232" t="s">
        <v>204</v>
      </c>
      <c r="AD192" s="229"/>
      <c r="AE192" s="230">
        <f>+'Plan de Accion apoyo transversa'!BX181</f>
        <v>0</v>
      </c>
      <c r="AF192" s="266" t="str">
        <f>+'Plan de Accion apoyo transversa'!CK181</f>
        <v>No Prog ni Ejec</v>
      </c>
      <c r="AG192" s="228" t="s">
        <v>204</v>
      </c>
      <c r="AH192" s="266">
        <f>+'Plan de Accion apoyo transversa'!CB181</f>
        <v>1</v>
      </c>
      <c r="AI192" s="227">
        <f>IF(AH192&gt;100%,100%,AH192)</f>
        <v>1</v>
      </c>
      <c r="AJ192" s="246"/>
      <c r="AK192" s="253"/>
      <c r="AL192" s="1258"/>
      <c r="AM192" s="1258"/>
      <c r="AN192" s="220"/>
      <c r="AO192" s="1269"/>
      <c r="AP192" s="1258"/>
      <c r="AQ192" s="220"/>
      <c r="AR192" s="1258"/>
      <c r="AS192" s="1258"/>
      <c r="AT192" s="220"/>
      <c r="AU192" s="1258"/>
      <c r="AV192" s="1258"/>
      <c r="AW192" s="218"/>
      <c r="AX192" s="245"/>
      <c r="AY192" s="252"/>
      <c r="AZ192" s="1258"/>
      <c r="BA192" s="1258"/>
      <c r="BB192" s="220"/>
      <c r="BC192" s="1269"/>
      <c r="BD192" s="1258"/>
      <c r="BE192" s="220"/>
      <c r="BF192" s="1258"/>
      <c r="BG192" s="1258"/>
      <c r="BH192" s="220"/>
      <c r="BI192" s="1258"/>
      <c r="BJ192" s="1258"/>
      <c r="BK192" s="218"/>
      <c r="BL192" s="245"/>
      <c r="BN192" s="1258"/>
      <c r="BO192" s="1258"/>
      <c r="BP192" s="220"/>
      <c r="BQ192" s="1269"/>
      <c r="BR192" s="1258"/>
      <c r="BS192" s="220"/>
      <c r="BT192" s="1258"/>
      <c r="BU192" s="1258"/>
      <c r="BV192" s="220"/>
      <c r="BW192" s="1258"/>
      <c r="BX192" s="1258"/>
      <c r="BY192" s="218"/>
      <c r="BZ192" s="245"/>
      <c r="CB192" s="1258"/>
      <c r="CC192" s="1258"/>
      <c r="CD192" s="220"/>
      <c r="CE192" s="1269"/>
      <c r="CF192" s="1258"/>
      <c r="CG192" s="220"/>
      <c r="CH192" s="1258"/>
      <c r="CI192" s="1258"/>
      <c r="CJ192" s="220"/>
      <c r="CK192" s="1258"/>
      <c r="CL192" s="1258"/>
      <c r="CM192" s="218"/>
      <c r="CN192" s="245"/>
    </row>
    <row r="193" spans="2:92" ht="153.75" customHeight="1" x14ac:dyDescent="0.25">
      <c r="B193" s="1341"/>
      <c r="C193" s="1231"/>
      <c r="D193" s="1203"/>
      <c r="E193" s="1213"/>
      <c r="F193" s="355" t="s">
        <v>336</v>
      </c>
      <c r="G193" s="308" t="str">
        <f>+'Plan de Accion apoyo transversa'!X142</f>
        <v>Implementación de un módulo tecnológico en el CRM como herramienta de medición de oportunidad de respuestas a PQRSD.</v>
      </c>
      <c r="H193" s="240" t="str">
        <f>+'Plan de Accion apoyo transversa'!AK142</f>
        <v># Módulos tecnológicos en el CRM como herramienta de medición de oportunidad de respuestas a PQRSD implementados.</v>
      </c>
      <c r="I193" s="254"/>
      <c r="J193" s="234">
        <f>+'Plan de Accion apoyo transversa'!AT142</f>
        <v>1</v>
      </c>
      <c r="K193" s="503">
        <f>+'Plan de Accion apoyo transversa'!CE142</f>
        <v>1</v>
      </c>
      <c r="L193" s="503">
        <f t="shared" si="149"/>
        <v>1</v>
      </c>
      <c r="M193" s="503">
        <f>+'Plan de Accion apoyo transversa'!AX142</f>
        <v>1</v>
      </c>
      <c r="N193" s="503">
        <f t="shared" si="89"/>
        <v>1</v>
      </c>
      <c r="O193" s="505">
        <f>+N193</f>
        <v>1</v>
      </c>
      <c r="P193" s="229"/>
      <c r="Q193" s="234">
        <f>+'Plan de Accion apoyo transversa'!BD142</f>
        <v>0</v>
      </c>
      <c r="R193" s="266" t="str">
        <f>+'Plan de Accion apoyo transversa'!CG142</f>
        <v>No Prog ni Ejec</v>
      </c>
      <c r="S193" s="228" t="s">
        <v>204</v>
      </c>
      <c r="T193" s="324">
        <f>+'Plan de Accion apoyo transversa'!BH142</f>
        <v>1</v>
      </c>
      <c r="U193" s="324">
        <f t="shared" si="152"/>
        <v>1</v>
      </c>
      <c r="V193" s="227">
        <f t="shared" si="153"/>
        <v>1</v>
      </c>
      <c r="W193" s="229"/>
      <c r="X193" s="234">
        <f>+'Plan de Accion apoyo transversa'!BN142</f>
        <v>0</v>
      </c>
      <c r="Y193" s="266" t="str">
        <f>+'Plan de Accion apoyo transversa'!CI142</f>
        <v>No Prog ni Ejec</v>
      </c>
      <c r="Z193" s="228" t="s">
        <v>204</v>
      </c>
      <c r="AA193" s="233">
        <f>+'Plan de Accion apoyo transversa'!BR142</f>
        <v>1</v>
      </c>
      <c r="AB193" s="233">
        <f t="shared" si="155"/>
        <v>1</v>
      </c>
      <c r="AC193" s="232">
        <f t="shared" si="156"/>
        <v>1</v>
      </c>
      <c r="AD193" s="229"/>
      <c r="AE193" s="235">
        <f>+'Plan de Accion apoyo transversa'!BX142</f>
        <v>0</v>
      </c>
      <c r="AF193" s="266" t="str">
        <f>+'Plan de Accion apoyo transversa'!CK142</f>
        <v>No Prog ni Ejec</v>
      </c>
      <c r="AG193" s="228" t="s">
        <v>204</v>
      </c>
      <c r="AH193" s="266">
        <f>+'Plan de Accion apoyo transversa'!CB142</f>
        <v>1</v>
      </c>
      <c r="AI193" s="227">
        <f t="shared" si="157"/>
        <v>1</v>
      </c>
      <c r="AJ193" s="246"/>
      <c r="AK193" s="253"/>
      <c r="AL193" s="1258"/>
      <c r="AM193" s="1258"/>
      <c r="AN193" s="220"/>
      <c r="AO193" s="1269"/>
      <c r="AP193" s="1258"/>
      <c r="AQ193" s="220"/>
      <c r="AR193" s="1258"/>
      <c r="AS193" s="1258"/>
      <c r="AT193" s="220"/>
      <c r="AU193" s="1258"/>
      <c r="AV193" s="1258"/>
      <c r="AW193" s="218"/>
      <c r="AX193" s="245"/>
      <c r="AY193" s="252"/>
      <c r="AZ193" s="1258"/>
      <c r="BA193" s="1258"/>
      <c r="BB193" s="220"/>
      <c r="BC193" s="1269"/>
      <c r="BD193" s="1258"/>
      <c r="BE193" s="220"/>
      <c r="BF193" s="1258"/>
      <c r="BG193" s="1258"/>
      <c r="BH193" s="220"/>
      <c r="BI193" s="1258"/>
      <c r="BJ193" s="1258"/>
      <c r="BK193" s="218"/>
      <c r="BL193" s="245"/>
      <c r="BN193" s="1258"/>
      <c r="BO193" s="1258"/>
      <c r="BP193" s="220"/>
      <c r="BQ193" s="1269"/>
      <c r="BR193" s="1258"/>
      <c r="BS193" s="220"/>
      <c r="BT193" s="1258"/>
      <c r="BU193" s="1258"/>
      <c r="BV193" s="220"/>
      <c r="BW193" s="1258"/>
      <c r="BX193" s="1258"/>
      <c r="BY193" s="218"/>
      <c r="BZ193" s="245"/>
      <c r="CB193" s="1258"/>
      <c r="CC193" s="1258"/>
      <c r="CD193" s="220"/>
      <c r="CE193" s="1269"/>
      <c r="CF193" s="1258"/>
      <c r="CG193" s="220"/>
      <c r="CH193" s="1258"/>
      <c r="CI193" s="1258"/>
      <c r="CJ193" s="220"/>
      <c r="CK193" s="1258"/>
      <c r="CL193" s="1258"/>
      <c r="CM193" s="218"/>
      <c r="CN193" s="245"/>
    </row>
    <row r="194" spans="2:92" ht="102" customHeight="1" x14ac:dyDescent="0.25">
      <c r="B194" s="1341"/>
      <c r="C194" s="1231"/>
      <c r="D194" s="1202" t="s">
        <v>204</v>
      </c>
      <c r="E194" s="1211" t="s">
        <v>1197</v>
      </c>
      <c r="F194" s="1202" t="s">
        <v>336</v>
      </c>
      <c r="G194" s="308" t="str">
        <f>+'Plan de Accion apoyo transversa'!X153</f>
        <v>Política publicada en página web.</v>
      </c>
      <c r="H194" s="240" t="str">
        <f>+'Plan de Accion apoyo transversa'!AK153</f>
        <v># Políticas publicadas en página web.</v>
      </c>
      <c r="I194" s="254"/>
      <c r="J194" s="234">
        <f>+'Plan de Accion apoyo transversa'!AT153</f>
        <v>0</v>
      </c>
      <c r="K194" s="503" t="str">
        <f>+'Plan de Accion apoyo transversa'!CE153</f>
        <v>No Prog ni Ejec</v>
      </c>
      <c r="L194" s="503" t="s">
        <v>204</v>
      </c>
      <c r="M194" s="503">
        <f>+'Plan de Accion apoyo transversa'!AX153</f>
        <v>0</v>
      </c>
      <c r="N194" s="503">
        <f t="shared" si="89"/>
        <v>0</v>
      </c>
      <c r="O194" s="505" t="s">
        <v>204</v>
      </c>
      <c r="P194" s="229"/>
      <c r="Q194" s="234">
        <f>+'Plan de Accion apoyo transversa'!BD153</f>
        <v>0</v>
      </c>
      <c r="R194" s="266">
        <f>+'Plan de Accion apoyo transversa'!CG153</f>
        <v>0</v>
      </c>
      <c r="S194" s="228">
        <f t="shared" si="151"/>
        <v>0</v>
      </c>
      <c r="T194" s="324">
        <f>+'Plan de Accion apoyo transversa'!BH153</f>
        <v>0</v>
      </c>
      <c r="U194" s="324">
        <f t="shared" si="152"/>
        <v>0</v>
      </c>
      <c r="V194" s="227">
        <f t="shared" si="153"/>
        <v>0</v>
      </c>
      <c r="W194" s="229"/>
      <c r="X194" s="234">
        <f>+'Plan de Accion apoyo transversa'!BN153</f>
        <v>0</v>
      </c>
      <c r="Y194" s="266" t="str">
        <f>+'Plan de Accion apoyo transversa'!CI153</f>
        <v>No Prog ni Ejec</v>
      </c>
      <c r="Z194" s="228" t="s">
        <v>204</v>
      </c>
      <c r="AA194" s="233">
        <f>+'Plan de Accion apoyo transversa'!BR153</f>
        <v>0</v>
      </c>
      <c r="AB194" s="233">
        <f t="shared" si="155"/>
        <v>0</v>
      </c>
      <c r="AC194" s="232">
        <f t="shared" si="156"/>
        <v>0</v>
      </c>
      <c r="AD194" s="229"/>
      <c r="AE194" s="235">
        <f>+'Plan de Accion apoyo transversa'!BX153</f>
        <v>0</v>
      </c>
      <c r="AF194" s="266" t="str">
        <f>+'Plan de Accion apoyo transversa'!CK153</f>
        <v>No Prog ni Ejec</v>
      </c>
      <c r="AG194" s="228" t="s">
        <v>204</v>
      </c>
      <c r="AH194" s="266">
        <f>+'Plan de Accion apoyo transversa'!CB153</f>
        <v>0</v>
      </c>
      <c r="AI194" s="227">
        <f t="shared" si="157"/>
        <v>0</v>
      </c>
      <c r="AJ194" s="246"/>
      <c r="AK194" s="253"/>
      <c r="AL194" s="1258"/>
      <c r="AM194" s="1258"/>
      <c r="AN194" s="220"/>
      <c r="AO194" s="1269"/>
      <c r="AP194" s="1258"/>
      <c r="AQ194" s="220"/>
      <c r="AR194" s="1258"/>
      <c r="AS194" s="1258"/>
      <c r="AT194" s="220"/>
      <c r="AU194" s="1258"/>
      <c r="AV194" s="1258"/>
      <c r="AW194" s="218"/>
      <c r="AX194" s="245"/>
      <c r="AY194" s="252"/>
      <c r="AZ194" s="1258"/>
      <c r="BA194" s="1258"/>
      <c r="BB194" s="220"/>
      <c r="BC194" s="1269"/>
      <c r="BD194" s="1258"/>
      <c r="BE194" s="220"/>
      <c r="BF194" s="1258"/>
      <c r="BG194" s="1258"/>
      <c r="BH194" s="220"/>
      <c r="BI194" s="1258"/>
      <c r="BJ194" s="1258"/>
      <c r="BK194" s="218"/>
      <c r="BL194" s="245"/>
      <c r="BN194" s="1258"/>
      <c r="BO194" s="1258"/>
      <c r="BP194" s="220"/>
      <c r="BQ194" s="1269"/>
      <c r="BR194" s="1258"/>
      <c r="BS194" s="220"/>
      <c r="BT194" s="1258"/>
      <c r="BU194" s="1258"/>
      <c r="BV194" s="220"/>
      <c r="BW194" s="1258"/>
      <c r="BX194" s="1258"/>
      <c r="BY194" s="218"/>
      <c r="BZ194" s="245"/>
      <c r="CB194" s="1258"/>
      <c r="CC194" s="1258"/>
      <c r="CD194" s="220"/>
      <c r="CE194" s="1269"/>
      <c r="CF194" s="1258"/>
      <c r="CG194" s="220"/>
      <c r="CH194" s="1258"/>
      <c r="CI194" s="1258"/>
      <c r="CJ194" s="220"/>
      <c r="CK194" s="1258"/>
      <c r="CL194" s="1258"/>
      <c r="CM194" s="218"/>
      <c r="CN194" s="245"/>
    </row>
    <row r="195" spans="2:92" ht="72" thickBot="1" x14ac:dyDescent="0.3">
      <c r="B195" s="1341"/>
      <c r="C195" s="1231"/>
      <c r="D195" s="1210"/>
      <c r="E195" s="1212"/>
      <c r="F195" s="1210"/>
      <c r="G195" s="308" t="str">
        <f>+'Plan de Accion apoyo transversa'!X159</f>
        <v>Informe consolidado de observaciones, recomendaciones y comentarios al Mapa de Riesgos y al Plan de Acción</v>
      </c>
      <c r="H195" s="240" t="str">
        <f>+'Plan de Accion apoyo transversa'!AK159</f>
        <v># informes al Mapa de Riesgos y al Plan de Acción</v>
      </c>
      <c r="I195" s="254"/>
      <c r="J195" s="234">
        <f>+'Plan de Accion apoyo transversa'!AT159</f>
        <v>1</v>
      </c>
      <c r="K195" s="503">
        <f>+'Plan de Accion apoyo transversa'!CE159</f>
        <v>1</v>
      </c>
      <c r="L195" s="503">
        <f t="shared" si="149"/>
        <v>1</v>
      </c>
      <c r="M195" s="503">
        <f>+'Plan de Accion apoyo transversa'!AX159</f>
        <v>1</v>
      </c>
      <c r="N195" s="503">
        <f t="shared" si="89"/>
        <v>1</v>
      </c>
      <c r="O195" s="505">
        <f>+N195</f>
        <v>1</v>
      </c>
      <c r="P195" s="229"/>
      <c r="Q195" s="234">
        <f>+'Plan de Accion apoyo transversa'!BD159</f>
        <v>0</v>
      </c>
      <c r="R195" s="266" t="str">
        <f>+'Plan de Accion apoyo transversa'!CG159</f>
        <v>No Prog ni Ejec</v>
      </c>
      <c r="S195" s="228" t="s">
        <v>204</v>
      </c>
      <c r="T195" s="324">
        <f>+'Plan de Accion apoyo transversa'!BH159</f>
        <v>1</v>
      </c>
      <c r="U195" s="324">
        <f t="shared" si="152"/>
        <v>1</v>
      </c>
      <c r="V195" s="227">
        <f t="shared" si="153"/>
        <v>1</v>
      </c>
      <c r="W195" s="229"/>
      <c r="X195" s="234">
        <f>+'Plan de Accion apoyo transversa'!BN159</f>
        <v>0</v>
      </c>
      <c r="Y195" s="266" t="str">
        <f>+'Plan de Accion apoyo transversa'!CI159</f>
        <v>No Prog ni Ejec</v>
      </c>
      <c r="Z195" s="228" t="s">
        <v>204</v>
      </c>
      <c r="AA195" s="233">
        <f>+'Plan de Accion apoyo transversa'!BR159</f>
        <v>1</v>
      </c>
      <c r="AB195" s="233">
        <f t="shared" si="155"/>
        <v>1</v>
      </c>
      <c r="AC195" s="232">
        <f t="shared" si="156"/>
        <v>1</v>
      </c>
      <c r="AD195" s="229"/>
      <c r="AE195" s="235">
        <f>+'Plan de Accion apoyo transversa'!BX159</f>
        <v>0</v>
      </c>
      <c r="AF195" s="266" t="str">
        <f>+'Plan de Accion apoyo transversa'!CK159</f>
        <v>No Prog ni Ejec</v>
      </c>
      <c r="AG195" s="228" t="s">
        <v>204</v>
      </c>
      <c r="AH195" s="266">
        <f>+'Plan de Accion apoyo transversa'!CB159</f>
        <v>1</v>
      </c>
      <c r="AI195" s="227">
        <f t="shared" si="157"/>
        <v>1</v>
      </c>
      <c r="AJ195" s="244"/>
      <c r="AK195" s="253"/>
      <c r="AL195" s="1259"/>
      <c r="AM195" s="1259"/>
      <c r="AN195" s="220"/>
      <c r="AO195" s="1270"/>
      <c r="AP195" s="1259"/>
      <c r="AQ195" s="220"/>
      <c r="AR195" s="1259"/>
      <c r="AS195" s="1259"/>
      <c r="AT195" s="220"/>
      <c r="AU195" s="1259"/>
      <c r="AV195" s="1259"/>
      <c r="AW195" s="218"/>
      <c r="AX195" s="243"/>
      <c r="AY195" s="252"/>
      <c r="AZ195" s="1259"/>
      <c r="BA195" s="1259"/>
      <c r="BB195" s="220"/>
      <c r="BC195" s="1270"/>
      <c r="BD195" s="1259"/>
      <c r="BE195" s="220"/>
      <c r="BF195" s="1259"/>
      <c r="BG195" s="1259"/>
      <c r="BH195" s="220"/>
      <c r="BI195" s="1259"/>
      <c r="BJ195" s="1259"/>
      <c r="BK195" s="218"/>
      <c r="BL195" s="243"/>
      <c r="BN195" s="1259"/>
      <c r="BO195" s="1259"/>
      <c r="BP195" s="220"/>
      <c r="BQ195" s="1270"/>
      <c r="BR195" s="1259"/>
      <c r="BS195" s="220"/>
      <c r="BT195" s="1259"/>
      <c r="BU195" s="1259"/>
      <c r="BV195" s="220"/>
      <c r="BW195" s="1259"/>
      <c r="BX195" s="1259"/>
      <c r="BY195" s="218"/>
      <c r="BZ195" s="243"/>
      <c r="CB195" s="1259"/>
      <c r="CC195" s="1259"/>
      <c r="CD195" s="220"/>
      <c r="CE195" s="1270"/>
      <c r="CF195" s="1259"/>
      <c r="CG195" s="220"/>
      <c r="CH195" s="1259"/>
      <c r="CI195" s="1259"/>
      <c r="CJ195" s="220"/>
      <c r="CK195" s="1259"/>
      <c r="CL195" s="1259"/>
      <c r="CM195" s="218"/>
      <c r="CN195" s="243"/>
    </row>
    <row r="196" spans="2:92" ht="90.75" customHeight="1" x14ac:dyDescent="0.25">
      <c r="B196" s="1341"/>
      <c r="C196" s="1231"/>
      <c r="D196" s="1210"/>
      <c r="E196" s="1212"/>
      <c r="F196" s="1210"/>
      <c r="G196" s="308" t="str">
        <f>+'Plan de Accion apoyo transversa'!X160</f>
        <v>Sección de publicación de información habilitada en el sitio de transparencia de la página Web</v>
      </c>
      <c r="H196" s="240" t="str">
        <f>+'Plan de Accion apoyo transversa'!AK160</f>
        <v># Secciones de publicación de información habilitadas</v>
      </c>
      <c r="I196" s="254"/>
      <c r="J196" s="234">
        <f>+'Plan de Accion apoyo transversa'!AT160</f>
        <v>0</v>
      </c>
      <c r="K196" s="503" t="str">
        <f>+'Plan de Accion apoyo transversa'!CE160</f>
        <v>No Prog ni Ejec</v>
      </c>
      <c r="L196" s="503" t="s">
        <v>204</v>
      </c>
      <c r="M196" s="503">
        <f>+'Plan de Accion apoyo transversa'!AX160</f>
        <v>0</v>
      </c>
      <c r="N196" s="503">
        <f t="shared" si="89"/>
        <v>0</v>
      </c>
      <c r="O196" s="505" t="s">
        <v>204</v>
      </c>
      <c r="P196" s="229"/>
      <c r="Q196" s="234">
        <f>+'Plan de Accion apoyo transversa'!BD160</f>
        <v>1</v>
      </c>
      <c r="R196" s="266">
        <f>+'Plan de Accion apoyo transversa'!CG160</f>
        <v>1</v>
      </c>
      <c r="S196" s="228">
        <f t="shared" si="151"/>
        <v>1</v>
      </c>
      <c r="T196" s="324">
        <f>+'Plan de Accion apoyo transversa'!BH160</f>
        <v>1</v>
      </c>
      <c r="U196" s="324">
        <f t="shared" si="152"/>
        <v>1</v>
      </c>
      <c r="V196" s="227">
        <f t="shared" si="153"/>
        <v>1</v>
      </c>
      <c r="W196" s="229"/>
      <c r="X196" s="234">
        <f>+'Plan de Accion apoyo transversa'!BN160</f>
        <v>0</v>
      </c>
      <c r="Y196" s="266" t="str">
        <f>+'Plan de Accion apoyo transversa'!CI160</f>
        <v>No Prog ni Ejec</v>
      </c>
      <c r="Z196" s="228" t="s">
        <v>204</v>
      </c>
      <c r="AA196" s="233">
        <f>+'Plan de Accion apoyo transversa'!BR160</f>
        <v>1</v>
      </c>
      <c r="AB196" s="233">
        <f t="shared" si="155"/>
        <v>1</v>
      </c>
      <c r="AC196" s="232">
        <f t="shared" si="156"/>
        <v>1</v>
      </c>
      <c r="AD196" s="229"/>
      <c r="AE196" s="235">
        <f>+'Plan de Accion apoyo transversa'!BX160</f>
        <v>0</v>
      </c>
      <c r="AF196" s="266" t="str">
        <f>+'Plan de Accion apoyo transversa'!CK160</f>
        <v>No Prog ni Ejec</v>
      </c>
      <c r="AG196" s="228" t="s">
        <v>204</v>
      </c>
      <c r="AH196" s="266">
        <f>+'Plan de Accion apoyo transversa'!CB160</f>
        <v>1</v>
      </c>
      <c r="AI196" s="227">
        <f t="shared" si="157"/>
        <v>1</v>
      </c>
      <c r="AJ196" s="246"/>
      <c r="AK196" s="253"/>
      <c r="AL196" s="223"/>
      <c r="AM196" s="223"/>
      <c r="AN196" s="220"/>
      <c r="AO196" s="224"/>
      <c r="AP196" s="223"/>
      <c r="AQ196" s="220"/>
      <c r="AR196" s="223"/>
      <c r="AS196" s="223"/>
      <c r="AT196" s="220"/>
      <c r="AU196" s="223"/>
      <c r="AV196" s="223"/>
      <c r="AW196" s="218"/>
      <c r="AX196" s="245"/>
      <c r="AY196" s="252"/>
      <c r="AZ196" s="223"/>
      <c r="BA196" s="223"/>
      <c r="BB196" s="220"/>
      <c r="BC196" s="224"/>
      <c r="BD196" s="223"/>
      <c r="BE196" s="220"/>
      <c r="BF196" s="223"/>
      <c r="BG196" s="223"/>
      <c r="BH196" s="220"/>
      <c r="BI196" s="223"/>
      <c r="BJ196" s="223"/>
      <c r="BK196" s="218"/>
      <c r="BL196" s="245"/>
      <c r="BN196" s="223"/>
      <c r="BO196" s="223"/>
      <c r="BP196" s="220"/>
      <c r="BQ196" s="224"/>
      <c r="BR196" s="223"/>
      <c r="BS196" s="220"/>
      <c r="BT196" s="223"/>
      <c r="BU196" s="223"/>
      <c r="BV196" s="220"/>
      <c r="BW196" s="223"/>
      <c r="BX196" s="223"/>
      <c r="BY196" s="218"/>
      <c r="BZ196" s="245"/>
      <c r="CB196" s="223"/>
      <c r="CC196" s="223"/>
      <c r="CD196" s="220"/>
      <c r="CE196" s="224"/>
      <c r="CF196" s="223"/>
      <c r="CG196" s="220"/>
      <c r="CH196" s="223"/>
      <c r="CI196" s="223"/>
      <c r="CJ196" s="220"/>
      <c r="CK196" s="223"/>
      <c r="CL196" s="223"/>
      <c r="CM196" s="218"/>
      <c r="CN196" s="245"/>
    </row>
    <row r="197" spans="2:92" ht="77.25" customHeight="1" x14ac:dyDescent="0.25">
      <c r="B197" s="1341"/>
      <c r="C197" s="1231"/>
      <c r="D197" s="1210"/>
      <c r="E197" s="1212"/>
      <c r="F197" s="1210"/>
      <c r="G197" s="308" t="str">
        <f>+'Plan de Accion apoyo transversa'!X161</f>
        <v>Informe de gestión de la entidad vigencia 2018 publicado</v>
      </c>
      <c r="H197" s="240" t="str">
        <f>+'Plan de Accion apoyo transversa'!AK161</f>
        <v># Informes de gestión publicados</v>
      </c>
      <c r="I197" s="254"/>
      <c r="J197" s="234">
        <f>+'Plan de Accion apoyo transversa'!AT161</f>
        <v>1</v>
      </c>
      <c r="K197" s="503">
        <f>+'Plan de Accion apoyo transversa'!CE161</f>
        <v>1</v>
      </c>
      <c r="L197" s="503">
        <f t="shared" si="149"/>
        <v>1</v>
      </c>
      <c r="M197" s="503">
        <f>+'Plan de Accion apoyo transversa'!AX161</f>
        <v>1</v>
      </c>
      <c r="N197" s="503">
        <f t="shared" si="89"/>
        <v>1</v>
      </c>
      <c r="O197" s="505">
        <f>+N197</f>
        <v>1</v>
      </c>
      <c r="P197" s="229"/>
      <c r="Q197" s="234">
        <f>+'Plan de Accion apoyo transversa'!BD161</f>
        <v>0</v>
      </c>
      <c r="R197" s="266" t="str">
        <f>+'Plan de Accion apoyo transversa'!CG161</f>
        <v>No Prog ni Ejec</v>
      </c>
      <c r="S197" s="228" t="s">
        <v>204</v>
      </c>
      <c r="T197" s="324">
        <f>+'Plan de Accion apoyo transversa'!BH161</f>
        <v>1</v>
      </c>
      <c r="U197" s="324">
        <f t="shared" si="152"/>
        <v>1</v>
      </c>
      <c r="V197" s="227">
        <f t="shared" si="153"/>
        <v>1</v>
      </c>
      <c r="W197" s="229"/>
      <c r="X197" s="234">
        <f>+'Plan de Accion apoyo transversa'!BN161</f>
        <v>0</v>
      </c>
      <c r="Y197" s="266" t="str">
        <f>+'Plan de Accion apoyo transversa'!CI161</f>
        <v>No Prog ni Ejec</v>
      </c>
      <c r="Z197" s="228" t="s">
        <v>204</v>
      </c>
      <c r="AA197" s="233">
        <f>+'Plan de Accion apoyo transversa'!BR161</f>
        <v>1</v>
      </c>
      <c r="AB197" s="233">
        <f t="shared" si="155"/>
        <v>1</v>
      </c>
      <c r="AC197" s="232">
        <f t="shared" si="156"/>
        <v>1</v>
      </c>
      <c r="AD197" s="229"/>
      <c r="AE197" s="235">
        <f>+'Plan de Accion apoyo transversa'!BX161</f>
        <v>0</v>
      </c>
      <c r="AF197" s="266" t="str">
        <f>+'Plan de Accion apoyo transversa'!CK161</f>
        <v>No Prog ni Ejec</v>
      </c>
      <c r="AG197" s="228" t="s">
        <v>204</v>
      </c>
      <c r="AH197" s="266">
        <f>+'Plan de Accion apoyo transversa'!CB161</f>
        <v>1</v>
      </c>
      <c r="AI197" s="227">
        <f t="shared" si="157"/>
        <v>1</v>
      </c>
      <c r="AJ197" s="246"/>
      <c r="AK197" s="253"/>
      <c r="AL197" s="223"/>
      <c r="AM197" s="223"/>
      <c r="AN197" s="220"/>
      <c r="AO197" s="224"/>
      <c r="AP197" s="223"/>
      <c r="AQ197" s="220"/>
      <c r="AR197" s="223"/>
      <c r="AS197" s="223"/>
      <c r="AT197" s="220"/>
      <c r="AU197" s="223"/>
      <c r="AV197" s="223"/>
      <c r="AW197" s="218"/>
      <c r="AX197" s="245"/>
      <c r="AY197" s="252"/>
      <c r="AZ197" s="223"/>
      <c r="BA197" s="223"/>
      <c r="BB197" s="220"/>
      <c r="BC197" s="224"/>
      <c r="BD197" s="223"/>
      <c r="BE197" s="220"/>
      <c r="BF197" s="223"/>
      <c r="BG197" s="223"/>
      <c r="BH197" s="220"/>
      <c r="BI197" s="223"/>
      <c r="BJ197" s="223"/>
      <c r="BK197" s="218"/>
      <c r="BL197" s="245"/>
      <c r="BN197" s="223"/>
      <c r="BO197" s="223"/>
      <c r="BP197" s="220"/>
      <c r="BQ197" s="224"/>
      <c r="BR197" s="223"/>
      <c r="BS197" s="220"/>
      <c r="BT197" s="223"/>
      <c r="BU197" s="223"/>
      <c r="BV197" s="220"/>
      <c r="BW197" s="223"/>
      <c r="BX197" s="223"/>
      <c r="BY197" s="218"/>
      <c r="BZ197" s="245"/>
      <c r="CB197" s="223"/>
      <c r="CC197" s="223"/>
      <c r="CD197" s="220"/>
      <c r="CE197" s="224"/>
      <c r="CF197" s="223"/>
      <c r="CG197" s="220"/>
      <c r="CH197" s="223"/>
      <c r="CI197" s="223"/>
      <c r="CJ197" s="220"/>
      <c r="CK197" s="223"/>
      <c r="CL197" s="223"/>
      <c r="CM197" s="218"/>
      <c r="CN197" s="245"/>
    </row>
    <row r="198" spans="2:92" ht="69.75" customHeight="1" x14ac:dyDescent="0.25">
      <c r="B198" s="1341"/>
      <c r="C198" s="1231"/>
      <c r="D198" s="1210"/>
      <c r="E198" s="1212"/>
      <c r="F198" s="1210"/>
      <c r="G198" s="308" t="str">
        <f>+'Plan de Accion apoyo transversa'!X162</f>
        <v>Informe de resultados de la estrategia de rendición de cuentas publicado en página web de la entidad.</v>
      </c>
      <c r="H198" s="240" t="str">
        <f>+'Plan de Accion apoyo transversa'!AK162</f>
        <v># Informes de resultados de la estrategia de rendición de cuentas publicados</v>
      </c>
      <c r="I198" s="254"/>
      <c r="J198" s="234">
        <f>+'Plan de Accion apoyo transversa'!AT162</f>
        <v>1</v>
      </c>
      <c r="K198" s="503">
        <f>+'Plan de Accion apoyo transversa'!CE162</f>
        <v>1</v>
      </c>
      <c r="L198" s="503">
        <f t="shared" si="149"/>
        <v>1</v>
      </c>
      <c r="M198" s="503">
        <f>+'Plan de Accion apoyo transversa'!AX162</f>
        <v>1</v>
      </c>
      <c r="N198" s="503">
        <f t="shared" si="89"/>
        <v>1</v>
      </c>
      <c r="O198" s="505">
        <f>+N198</f>
        <v>1</v>
      </c>
      <c r="P198" s="229"/>
      <c r="Q198" s="234">
        <f>+'Plan de Accion apoyo transversa'!BD162</f>
        <v>0</v>
      </c>
      <c r="R198" s="266" t="str">
        <f>+'Plan de Accion apoyo transversa'!CG162</f>
        <v>No Prog ni Ejec</v>
      </c>
      <c r="S198" s="228" t="s">
        <v>204</v>
      </c>
      <c r="T198" s="324">
        <f>+'Plan de Accion apoyo transversa'!BH162</f>
        <v>1</v>
      </c>
      <c r="U198" s="324">
        <f t="shared" si="152"/>
        <v>1</v>
      </c>
      <c r="V198" s="227">
        <f t="shared" si="153"/>
        <v>1</v>
      </c>
      <c r="W198" s="229"/>
      <c r="X198" s="234">
        <f>+'Plan de Accion apoyo transversa'!BN162</f>
        <v>0</v>
      </c>
      <c r="Y198" s="266" t="str">
        <f>+'Plan de Accion apoyo transversa'!CI162</f>
        <v>No Prog ni Ejec</v>
      </c>
      <c r="Z198" s="228" t="s">
        <v>204</v>
      </c>
      <c r="AA198" s="233">
        <f>+'Plan de Accion apoyo transversa'!BR162</f>
        <v>1</v>
      </c>
      <c r="AB198" s="233">
        <f t="shared" si="155"/>
        <v>1</v>
      </c>
      <c r="AC198" s="232">
        <f t="shared" si="156"/>
        <v>1</v>
      </c>
      <c r="AD198" s="229"/>
      <c r="AE198" s="235">
        <f>+'Plan de Accion apoyo transversa'!BX162</f>
        <v>0</v>
      </c>
      <c r="AF198" s="266" t="str">
        <f>+'Plan de Accion apoyo transversa'!CK162</f>
        <v>No Prog ni Ejec</v>
      </c>
      <c r="AG198" s="228" t="s">
        <v>204</v>
      </c>
      <c r="AH198" s="266">
        <f>+'Plan de Accion apoyo transversa'!CB162</f>
        <v>1</v>
      </c>
      <c r="AI198" s="227">
        <f t="shared" si="157"/>
        <v>1</v>
      </c>
      <c r="AJ198" s="246"/>
      <c r="AK198" s="253"/>
      <c r="AL198" s="223"/>
      <c r="AM198" s="223"/>
      <c r="AN198" s="220"/>
      <c r="AO198" s="224"/>
      <c r="AP198" s="223"/>
      <c r="AQ198" s="220"/>
      <c r="AR198" s="223"/>
      <c r="AS198" s="223"/>
      <c r="AT198" s="220"/>
      <c r="AU198" s="223"/>
      <c r="AV198" s="223"/>
      <c r="AW198" s="218"/>
      <c r="AX198" s="245"/>
      <c r="AY198" s="252"/>
      <c r="AZ198" s="223"/>
      <c r="BA198" s="223"/>
      <c r="BB198" s="220"/>
      <c r="BC198" s="224"/>
      <c r="BD198" s="223"/>
      <c r="BE198" s="220"/>
      <c r="BF198" s="223"/>
      <c r="BG198" s="223"/>
      <c r="BH198" s="220"/>
      <c r="BI198" s="223"/>
      <c r="BJ198" s="223"/>
      <c r="BK198" s="218"/>
      <c r="BL198" s="245"/>
      <c r="BN198" s="223"/>
      <c r="BO198" s="223"/>
      <c r="BP198" s="220"/>
      <c r="BQ198" s="224"/>
      <c r="BR198" s="223"/>
      <c r="BS198" s="220"/>
      <c r="BT198" s="223"/>
      <c r="BU198" s="223"/>
      <c r="BV198" s="220"/>
      <c r="BW198" s="223"/>
      <c r="BX198" s="223"/>
      <c r="BY198" s="218"/>
      <c r="BZ198" s="245"/>
      <c r="CB198" s="223"/>
      <c r="CC198" s="223"/>
      <c r="CD198" s="220"/>
      <c r="CE198" s="224"/>
      <c r="CF198" s="223"/>
      <c r="CG198" s="220"/>
      <c r="CH198" s="223"/>
      <c r="CI198" s="223"/>
      <c r="CJ198" s="220"/>
      <c r="CK198" s="223"/>
      <c r="CL198" s="223"/>
      <c r="CM198" s="218"/>
      <c r="CN198" s="245"/>
    </row>
    <row r="199" spans="2:92" ht="75.75" customHeight="1" x14ac:dyDescent="0.25">
      <c r="B199" s="1341"/>
      <c r="C199" s="1231"/>
      <c r="D199" s="1203"/>
      <c r="E199" s="1213"/>
      <c r="F199" s="1210"/>
      <c r="G199" s="308" t="str">
        <f>+'Plan de Accion apoyo transversa'!X163</f>
        <v>Solicitudes de publicación de información a las dependencias</v>
      </c>
      <c r="H199" s="240" t="str">
        <f>+'Plan de Accion apoyo transversa'!AK163</f>
        <v># Solicitudes realizadas a las dependencias / # solicitudes requeridas</v>
      </c>
      <c r="I199" s="254"/>
      <c r="J199" s="230">
        <f>+'Plan de Accion apoyo transversa'!AT163</f>
        <v>0.25</v>
      </c>
      <c r="K199" s="503">
        <f>+'Plan de Accion apoyo transversa'!CE163</f>
        <v>1</v>
      </c>
      <c r="L199" s="503">
        <f t="shared" si="149"/>
        <v>1</v>
      </c>
      <c r="M199" s="503">
        <f>+'Plan de Accion apoyo transversa'!AX163</f>
        <v>0.25</v>
      </c>
      <c r="N199" s="503">
        <f t="shared" si="89"/>
        <v>0.25</v>
      </c>
      <c r="O199" s="505">
        <f>+N199</f>
        <v>0.25</v>
      </c>
      <c r="P199" s="229"/>
      <c r="Q199" s="230">
        <f>+'Plan de Accion apoyo transversa'!BD163</f>
        <v>0.25</v>
      </c>
      <c r="R199" s="266">
        <f>+'Plan de Accion apoyo transversa'!CG163</f>
        <v>1</v>
      </c>
      <c r="S199" s="228">
        <f>IF(R199&gt;100%,100%,R199)</f>
        <v>1</v>
      </c>
      <c r="T199" s="324">
        <f>+'Plan de Accion apoyo transversa'!BH163</f>
        <v>0.5</v>
      </c>
      <c r="U199" s="324">
        <f t="shared" si="152"/>
        <v>0.5</v>
      </c>
      <c r="V199" s="227">
        <f t="shared" si="153"/>
        <v>0.5</v>
      </c>
      <c r="W199" s="229"/>
      <c r="X199" s="230">
        <f>+'Plan de Accion apoyo transversa'!BN163</f>
        <v>0</v>
      </c>
      <c r="Y199" s="266">
        <f>+'Plan de Accion apoyo transversa'!CI163</f>
        <v>0</v>
      </c>
      <c r="Z199" s="228">
        <f>IF(Y199&gt;100%,100%,Y199)</f>
        <v>0</v>
      </c>
      <c r="AA199" s="233">
        <f>+'Plan de Accion apoyo transversa'!BR163</f>
        <v>0.5</v>
      </c>
      <c r="AB199" s="233">
        <f t="shared" si="155"/>
        <v>0.5</v>
      </c>
      <c r="AC199" s="232">
        <f t="shared" si="156"/>
        <v>0.5</v>
      </c>
      <c r="AD199" s="229"/>
      <c r="AE199" s="230">
        <f>+'Plan de Accion apoyo transversa'!BX163</f>
        <v>0</v>
      </c>
      <c r="AF199" s="266">
        <f>+'Plan de Accion apoyo transversa'!CK163</f>
        <v>0</v>
      </c>
      <c r="AG199" s="228">
        <f>IF(AF199&gt;100%,100%,AF199)</f>
        <v>0</v>
      </c>
      <c r="AH199" s="266">
        <f>+'Plan de Accion apoyo transversa'!CB163</f>
        <v>0.5</v>
      </c>
      <c r="AI199" s="227">
        <f t="shared" si="157"/>
        <v>0.5</v>
      </c>
      <c r="AJ199" s="246"/>
      <c r="AK199" s="253"/>
      <c r="AL199" s="223"/>
      <c r="AM199" s="223"/>
      <c r="AN199" s="220"/>
      <c r="AO199" s="224"/>
      <c r="AP199" s="223"/>
      <c r="AQ199" s="220"/>
      <c r="AR199" s="223"/>
      <c r="AS199" s="223"/>
      <c r="AT199" s="220"/>
      <c r="AU199" s="223"/>
      <c r="AV199" s="223"/>
      <c r="AW199" s="218"/>
      <c r="AX199" s="245"/>
      <c r="AY199" s="252"/>
      <c r="AZ199" s="223"/>
      <c r="BA199" s="223"/>
      <c r="BB199" s="220"/>
      <c r="BC199" s="224"/>
      <c r="BD199" s="223"/>
      <c r="BE199" s="220"/>
      <c r="BF199" s="223"/>
      <c r="BG199" s="223"/>
      <c r="BH199" s="220"/>
      <c r="BI199" s="223"/>
      <c r="BJ199" s="223"/>
      <c r="BK199" s="218"/>
      <c r="BL199" s="245"/>
      <c r="BN199" s="223"/>
      <c r="BO199" s="223"/>
      <c r="BP199" s="220"/>
      <c r="BQ199" s="224"/>
      <c r="BR199" s="223"/>
      <c r="BS199" s="220"/>
      <c r="BT199" s="223"/>
      <c r="BU199" s="223"/>
      <c r="BV199" s="220"/>
      <c r="BW199" s="223"/>
      <c r="BX199" s="223"/>
      <c r="BY199" s="218"/>
      <c r="BZ199" s="245"/>
      <c r="CB199" s="223"/>
      <c r="CC199" s="223"/>
      <c r="CD199" s="220"/>
      <c r="CE199" s="224"/>
      <c r="CF199" s="223"/>
      <c r="CG199" s="220"/>
      <c r="CH199" s="223"/>
      <c r="CI199" s="223"/>
      <c r="CJ199" s="220"/>
      <c r="CK199" s="223"/>
      <c r="CL199" s="223"/>
      <c r="CM199" s="218"/>
      <c r="CN199" s="245"/>
    </row>
    <row r="200" spans="2:92" ht="75.75" customHeight="1" x14ac:dyDescent="0.25">
      <c r="B200" s="1341"/>
      <c r="C200" s="1231"/>
      <c r="D200" s="320" t="s">
        <v>204</v>
      </c>
      <c r="E200" s="335" t="s">
        <v>12</v>
      </c>
      <c r="F200" s="1210"/>
      <c r="G200" s="328" t="str">
        <f>+'Plan de Accion apoyo transversa'!X176</f>
        <v>Proyecto de resolución entregado al Ministerio de Salud para aprobación</v>
      </c>
      <c r="H200" s="240" t="str">
        <f>+'Plan de Accion apoyo transversa'!AK176</f>
        <v># Proyectos de Resolución entregados</v>
      </c>
      <c r="I200" s="254"/>
      <c r="J200" s="234">
        <f>+'Plan de Accion apoyo transversa'!AT176</f>
        <v>0</v>
      </c>
      <c r="K200" s="503" t="str">
        <f>+'Plan de Accion apoyo transversa'!CE176</f>
        <v>No Prog ni Ejec</v>
      </c>
      <c r="L200" s="503" t="s">
        <v>204</v>
      </c>
      <c r="M200" s="503">
        <f>+'Plan de Accion apoyo transversa'!AX176</f>
        <v>0</v>
      </c>
      <c r="N200" s="503">
        <f t="shared" si="89"/>
        <v>0</v>
      </c>
      <c r="O200" s="505" t="s">
        <v>204</v>
      </c>
      <c r="P200" s="229"/>
      <c r="Q200" s="234">
        <f>+'Plan de Accion apoyo transversa'!BD176</f>
        <v>0</v>
      </c>
      <c r="R200" s="324" t="str">
        <f>+'Plan de Accion apoyo transversa'!CG176</f>
        <v>No Prog ni Ejec</v>
      </c>
      <c r="S200" s="228" t="s">
        <v>204</v>
      </c>
      <c r="T200" s="324">
        <f>+'Plan de Accion apoyo transversa'!BH176</f>
        <v>0</v>
      </c>
      <c r="U200" s="324">
        <f t="shared" si="152"/>
        <v>0</v>
      </c>
      <c r="V200" s="227">
        <f t="shared" si="153"/>
        <v>0</v>
      </c>
      <c r="W200" s="229"/>
      <c r="X200" s="234">
        <f>+'Plan de Accion apoyo transversa'!BN176</f>
        <v>0</v>
      </c>
      <c r="Y200" s="324" t="str">
        <f>+'Plan de Accion apoyo transversa'!CI176</f>
        <v>No Prog ni Ejec</v>
      </c>
      <c r="Z200" s="228" t="s">
        <v>204</v>
      </c>
      <c r="AA200" s="233">
        <f>+'Plan de Accion apoyo transversa'!BR176</f>
        <v>0</v>
      </c>
      <c r="AB200" s="233">
        <f t="shared" si="155"/>
        <v>0</v>
      </c>
      <c r="AC200" s="232">
        <f t="shared" si="156"/>
        <v>0</v>
      </c>
      <c r="AD200" s="229"/>
      <c r="AE200" s="235">
        <f>+'Plan de Accion apoyo transversa'!BX176</f>
        <v>0</v>
      </c>
      <c r="AF200" s="324">
        <f>+'Plan de Accion apoyo transversa'!CK176</f>
        <v>0</v>
      </c>
      <c r="AG200" s="228">
        <f>IF(AF200&gt;100%,100%,AF200)</f>
        <v>0</v>
      </c>
      <c r="AH200" s="324">
        <f>+'Plan de Accion apoyo transversa'!CB176</f>
        <v>0</v>
      </c>
      <c r="AI200" s="227">
        <f t="shared" si="157"/>
        <v>0</v>
      </c>
      <c r="AJ200" s="246"/>
      <c r="AK200" s="253"/>
      <c r="AL200" s="329"/>
      <c r="AM200" s="329"/>
      <c r="AN200" s="220"/>
      <c r="AO200" s="330"/>
      <c r="AP200" s="329"/>
      <c r="AQ200" s="220"/>
      <c r="AR200" s="329"/>
      <c r="AS200" s="329"/>
      <c r="AT200" s="220"/>
      <c r="AU200" s="329"/>
      <c r="AV200" s="329"/>
      <c r="AW200" s="218"/>
      <c r="AX200" s="245"/>
      <c r="AY200" s="252"/>
      <c r="AZ200" s="329"/>
      <c r="BA200" s="329"/>
      <c r="BB200" s="220"/>
      <c r="BC200" s="330"/>
      <c r="BD200" s="329"/>
      <c r="BE200" s="220"/>
      <c r="BF200" s="329"/>
      <c r="BG200" s="329"/>
      <c r="BH200" s="220"/>
      <c r="BI200" s="329"/>
      <c r="BJ200" s="329"/>
      <c r="BK200" s="218"/>
      <c r="BL200" s="245"/>
      <c r="BN200" s="329"/>
      <c r="BO200" s="329"/>
      <c r="BP200" s="220"/>
      <c r="BQ200" s="330"/>
      <c r="BR200" s="329"/>
      <c r="BS200" s="220"/>
      <c r="BT200" s="329"/>
      <c r="BU200" s="329"/>
      <c r="BV200" s="220"/>
      <c r="BW200" s="329"/>
      <c r="BX200" s="329"/>
      <c r="BY200" s="218"/>
      <c r="BZ200" s="245"/>
      <c r="CB200" s="329"/>
      <c r="CC200" s="329"/>
      <c r="CD200" s="220"/>
      <c r="CE200" s="330"/>
      <c r="CF200" s="329"/>
      <c r="CG200" s="220"/>
      <c r="CH200" s="329"/>
      <c r="CI200" s="329"/>
      <c r="CJ200" s="220"/>
      <c r="CK200" s="329"/>
      <c r="CL200" s="329"/>
      <c r="CM200" s="218"/>
      <c r="CN200" s="245"/>
    </row>
    <row r="201" spans="2:92" ht="57.75" customHeight="1" x14ac:dyDescent="0.25">
      <c r="B201" s="1341"/>
      <c r="C201" s="1231"/>
      <c r="D201" s="320" t="s">
        <v>204</v>
      </c>
      <c r="E201" s="1202" t="str">
        <f>+'[6]Plan de Accion 2018'!B283</f>
        <v xml:space="preserve">Dirección de Otras Prestaciones  </v>
      </c>
      <c r="F201" s="1210"/>
      <c r="G201" s="328" t="str">
        <f>+'Plan de Accion apoyo transversa'!X165</f>
        <v>Formulario FURPEN mejorado</v>
      </c>
      <c r="H201" s="240" t="str">
        <f>+'Plan de Accion apoyo transversa'!AK165</f>
        <v># Formularios FURPEN mejorados</v>
      </c>
      <c r="I201" s="254"/>
      <c r="J201" s="234">
        <f>+'Plan de Accion apoyo transversa'!AT165</f>
        <v>0</v>
      </c>
      <c r="K201" s="503">
        <f>+'Plan de Accion apoyo transversa'!CE165</f>
        <v>0</v>
      </c>
      <c r="L201" s="503">
        <f t="shared" ref="L201:L208" si="158">IF(K201&gt;100%,100%,K201)</f>
        <v>0</v>
      </c>
      <c r="M201" s="324">
        <f>+'Plan de Accion apoyo transversa'!AX165</f>
        <v>0</v>
      </c>
      <c r="N201" s="503">
        <f t="shared" si="89"/>
        <v>0</v>
      </c>
      <c r="O201" s="325">
        <f>+N201</f>
        <v>0</v>
      </c>
      <c r="P201" s="229"/>
      <c r="Q201" s="234" t="s">
        <v>204</v>
      </c>
      <c r="R201" s="324" t="str">
        <f>+'Plan de Accion apoyo transversa'!CG165</f>
        <v>No Prog ni Ejec</v>
      </c>
      <c r="S201" s="228" t="s">
        <v>204</v>
      </c>
      <c r="T201" s="760">
        <f>+'Plan de Accion apoyo transversa'!BH165</f>
        <v>0</v>
      </c>
      <c r="U201" s="760">
        <f t="shared" ref="U201" si="159">IF(T201&gt;100%,100%,T201)</f>
        <v>0</v>
      </c>
      <c r="V201" s="227">
        <f t="shared" ref="V201" si="160">+U201</f>
        <v>0</v>
      </c>
      <c r="W201" s="229"/>
      <c r="X201" s="234" t="s">
        <v>204</v>
      </c>
      <c r="Y201" s="324" t="str">
        <f>+'Plan de Accion apoyo transversa'!CI165</f>
        <v>No Prog ni Ejec</v>
      </c>
      <c r="Z201" s="228" t="s">
        <v>204</v>
      </c>
      <c r="AA201" s="233">
        <f>+'Plan de Accion apoyo transversa'!BR165</f>
        <v>0</v>
      </c>
      <c r="AB201" s="233">
        <f t="shared" ref="AB201" si="161">IF(AA201&gt;100%,100%,AA201)</f>
        <v>0</v>
      </c>
      <c r="AC201" s="232">
        <f t="shared" ref="AC201" si="162">+AB201</f>
        <v>0</v>
      </c>
      <c r="AD201" s="229"/>
      <c r="AE201" s="235" t="s">
        <v>204</v>
      </c>
      <c r="AF201" s="324" t="str">
        <f>+'Plan de Accion apoyo transversa'!CK165</f>
        <v>No Prog ni Ejec</v>
      </c>
      <c r="AG201" s="228" t="s">
        <v>204</v>
      </c>
      <c r="AH201" s="760">
        <f>+'Plan de Accion apoyo transversa'!CB165</f>
        <v>0</v>
      </c>
      <c r="AI201" s="227">
        <f t="shared" ref="AI201" si="163">IF(AH201&gt;100%,100%,AH201)</f>
        <v>0</v>
      </c>
      <c r="AJ201" s="246"/>
      <c r="AK201" s="253"/>
      <c r="AL201" s="223"/>
      <c r="AM201" s="223"/>
      <c r="AN201" s="220"/>
      <c r="AO201" s="224"/>
      <c r="AP201" s="223"/>
      <c r="AQ201" s="220"/>
      <c r="AR201" s="223"/>
      <c r="AS201" s="223"/>
      <c r="AT201" s="220"/>
      <c r="AU201" s="223"/>
      <c r="AV201" s="223"/>
      <c r="AW201" s="218"/>
      <c r="AX201" s="245"/>
      <c r="AY201" s="252"/>
      <c r="AZ201" s="223"/>
      <c r="BA201" s="223"/>
      <c r="BB201" s="220"/>
      <c r="BC201" s="224"/>
      <c r="BD201" s="223"/>
      <c r="BE201" s="220"/>
      <c r="BF201" s="223"/>
      <c r="BG201" s="223"/>
      <c r="BH201" s="220"/>
      <c r="BI201" s="223"/>
      <c r="BJ201" s="223"/>
      <c r="BK201" s="218"/>
      <c r="BL201" s="245"/>
      <c r="BN201" s="223"/>
      <c r="BO201" s="223"/>
      <c r="BP201" s="220"/>
      <c r="BQ201" s="224"/>
      <c r="BR201" s="223"/>
      <c r="BS201" s="220"/>
      <c r="BT201" s="223"/>
      <c r="BU201" s="223"/>
      <c r="BV201" s="220"/>
      <c r="BW201" s="223"/>
      <c r="BX201" s="223"/>
      <c r="BY201" s="218"/>
      <c r="BZ201" s="245"/>
      <c r="CB201" s="223"/>
      <c r="CC201" s="223"/>
      <c r="CD201" s="220"/>
      <c r="CE201" s="224"/>
      <c r="CF201" s="223"/>
      <c r="CG201" s="220"/>
      <c r="CH201" s="223"/>
      <c r="CI201" s="223"/>
      <c r="CJ201" s="220"/>
      <c r="CK201" s="223"/>
      <c r="CL201" s="223"/>
      <c r="CM201" s="218"/>
      <c r="CN201" s="245"/>
    </row>
    <row r="202" spans="2:92" ht="57.75" customHeight="1" thickBot="1" x14ac:dyDescent="0.3">
      <c r="B202" s="1342"/>
      <c r="C202" s="1236"/>
      <c r="D202" s="578" t="s">
        <v>204</v>
      </c>
      <c r="E202" s="1343"/>
      <c r="F202" s="1343"/>
      <c r="G202" s="584" t="str">
        <f>+'Plan de Accion apoyo transversa'!X187</f>
        <v>Formulario FURPEN mejorado</v>
      </c>
      <c r="H202" s="240" t="str">
        <f>+'Plan de Accion apoyo transversa'!AK187</f>
        <v># Formularios FURPEN mejorados</v>
      </c>
      <c r="I202" s="254"/>
      <c r="J202" s="234">
        <f>+'Plan de Accion apoyo transversa'!AT187</f>
        <v>0</v>
      </c>
      <c r="K202" s="579" t="str">
        <f>+'Plan de Accion apoyo transversa'!CE187</f>
        <v>No Prog ni Ejec</v>
      </c>
      <c r="L202" s="579" t="s">
        <v>204</v>
      </c>
      <c r="M202" s="579">
        <f>+'Plan de Accion apoyo transversa'!AX187</f>
        <v>0</v>
      </c>
      <c r="N202" s="579">
        <f t="shared" ref="N202" si="164">IF(M202&gt;100%,100%,M202)</f>
        <v>0</v>
      </c>
      <c r="O202" s="581" t="s">
        <v>204</v>
      </c>
      <c r="P202" s="229"/>
      <c r="Q202" s="463">
        <f>+'Plan de Accion apoyo transversa'!BD187</f>
        <v>0</v>
      </c>
      <c r="R202" s="731" t="str">
        <f>+'Plan de Accion apoyo transversa'!CG187</f>
        <v>No Prog ni Ejec</v>
      </c>
      <c r="S202" s="464" t="s">
        <v>204</v>
      </c>
      <c r="T202" s="731">
        <f>+'Plan de Accion apoyo transversa'!BH187</f>
        <v>0</v>
      </c>
      <c r="U202" s="731">
        <f t="shared" ref="U202" si="165">IF(T202&gt;100%,100%,T202)</f>
        <v>0</v>
      </c>
      <c r="V202" s="466" t="s">
        <v>204</v>
      </c>
      <c r="W202" s="229"/>
      <c r="X202" s="234">
        <f>+'Plan de Accion apoyo transversa'!BN187</f>
        <v>0</v>
      </c>
      <c r="Y202" s="579" t="str">
        <f>+'Plan de Accion apoyo transversa'!CI187</f>
        <v>No Prog ni Ejec</v>
      </c>
      <c r="Z202" s="228" t="s">
        <v>204</v>
      </c>
      <c r="AA202" s="233">
        <f>+'Plan de Accion apoyo transversa'!BR187</f>
        <v>0</v>
      </c>
      <c r="AB202" s="233">
        <f t="shared" ref="AB202" si="166">IF(AA202&gt;100%,100%,AA202)</f>
        <v>0</v>
      </c>
      <c r="AC202" s="232" t="s">
        <v>204</v>
      </c>
      <c r="AD202" s="229"/>
      <c r="AE202" s="235">
        <f>+'Plan de Accion apoyo transversa'!BX187</f>
        <v>0</v>
      </c>
      <c r="AF202" s="579">
        <f>+'Plan de Accion apoyo transversa'!CK187</f>
        <v>0</v>
      </c>
      <c r="AG202" s="228">
        <f>IF(AF202&gt;100%,100%,AF202)</f>
        <v>0</v>
      </c>
      <c r="AH202" s="579">
        <f>+'Plan de Accion apoyo transversa'!CB187</f>
        <v>0</v>
      </c>
      <c r="AI202" s="227">
        <f t="shared" ref="AI202" si="167">IF(AH202&gt;100%,100%,AH202)</f>
        <v>0</v>
      </c>
      <c r="AJ202" s="601"/>
      <c r="AK202" s="253"/>
      <c r="AL202" s="589"/>
      <c r="AM202" s="251"/>
      <c r="AN202" s="220"/>
      <c r="AO202" s="589"/>
      <c r="AP202" s="251"/>
      <c r="AQ202" s="220"/>
      <c r="AR202" s="589"/>
      <c r="AS202" s="251"/>
      <c r="AT202" s="220"/>
      <c r="AU202" s="589"/>
      <c r="AV202" s="251"/>
      <c r="AW202" s="218"/>
      <c r="AX202" s="601"/>
      <c r="AY202" s="252"/>
      <c r="AZ202" s="589"/>
      <c r="BA202" s="251"/>
      <c r="BB202" s="220"/>
      <c r="BC202" s="589"/>
      <c r="BD202" s="251"/>
      <c r="BE202" s="220"/>
      <c r="BF202" s="589"/>
      <c r="BG202" s="251"/>
      <c r="BH202" s="220"/>
      <c r="BI202" s="589"/>
      <c r="BJ202" s="251"/>
      <c r="BK202" s="218"/>
      <c r="BL202" s="601"/>
      <c r="BN202" s="589"/>
      <c r="BO202" s="251"/>
      <c r="BP202" s="220"/>
      <c r="BQ202" s="589"/>
      <c r="BR202" s="251"/>
      <c r="BS202" s="220"/>
      <c r="BT202" s="589"/>
      <c r="BU202" s="251"/>
      <c r="BV202" s="220"/>
      <c r="BW202" s="589"/>
      <c r="BX202" s="251"/>
      <c r="BY202" s="218"/>
      <c r="BZ202" s="601"/>
      <c r="CB202" s="589"/>
      <c r="CC202" s="251"/>
      <c r="CD202" s="220"/>
      <c r="CE202" s="589"/>
      <c r="CF202" s="251"/>
      <c r="CG202" s="220"/>
      <c r="CH202" s="589"/>
      <c r="CI202" s="251"/>
      <c r="CJ202" s="220"/>
      <c r="CK202" s="589"/>
      <c r="CL202" s="251"/>
      <c r="CM202" s="218"/>
      <c r="CN202" s="601"/>
    </row>
    <row r="203" spans="2:92" ht="20.25" thickBot="1" x14ac:dyDescent="0.3">
      <c r="B203" s="1222" t="s">
        <v>216</v>
      </c>
      <c r="C203" s="1223"/>
      <c r="D203" s="1326"/>
      <c r="E203" s="1224"/>
      <c r="F203" s="1225"/>
      <c r="G203" s="1225"/>
      <c r="H203" s="1226"/>
      <c r="J203" s="213" t="s">
        <v>204</v>
      </c>
      <c r="K203" s="212">
        <f>AVERAGE(K131,K136:K201)</f>
        <v>0.92512577569127219</v>
      </c>
      <c r="L203" s="212">
        <f t="shared" si="158"/>
        <v>0.92512577569127219</v>
      </c>
      <c r="M203" s="212">
        <f>AVERAGE(M131,M136:M201)</f>
        <v>0.22264593576361133</v>
      </c>
      <c r="N203" s="212">
        <f>IF(M203&gt;25%,25%,M203)</f>
        <v>0.22264593576361133</v>
      </c>
      <c r="O203" s="215">
        <f>AVERAGE(O131,O136:O201)</f>
        <v>0.34173562233484528</v>
      </c>
      <c r="P203" s="214"/>
      <c r="Q203" s="213" t="s">
        <v>204</v>
      </c>
      <c r="R203" s="216">
        <f>AVERAGE(R131:R202)</f>
        <v>0.9895068481563406</v>
      </c>
      <c r="S203" s="212">
        <f>IF(R203&gt;100%,100%,R203)</f>
        <v>0.9895068481563406</v>
      </c>
      <c r="T203" s="212">
        <f>AVERAGE(T131:T202)</f>
        <v>0.48882993501441679</v>
      </c>
      <c r="U203" s="212">
        <f>IF(T203&gt;50%,50%,T203)</f>
        <v>0.48882993501441679</v>
      </c>
      <c r="V203" s="927">
        <f>AVERAGE(V131:V202)</f>
        <v>0.48476998776961039</v>
      </c>
      <c r="W203" s="214"/>
      <c r="X203" s="213" t="s">
        <v>204</v>
      </c>
      <c r="Y203" s="216">
        <f>AVERAGE(Y131:Y201)</f>
        <v>0</v>
      </c>
      <c r="Z203" s="212">
        <f>IF(Y203&gt;100%,100%,Y203)</f>
        <v>0</v>
      </c>
      <c r="AA203" s="216">
        <f>AVERAGE(AA131:AA201)</f>
        <v>0.49591442682621995</v>
      </c>
      <c r="AB203" s="212">
        <f>IF(AA203&gt;75%,75%,AA203)</f>
        <v>0.49591442682621995</v>
      </c>
      <c r="AC203" s="215">
        <f>AVERAGE(AC131:AC201)</f>
        <v>0.39286387869689759</v>
      </c>
      <c r="AD203" s="214"/>
      <c r="AE203" s="213" t="s">
        <v>204</v>
      </c>
      <c r="AF203" s="216">
        <f>AVERAGE(AF131:AF201)</f>
        <v>0</v>
      </c>
      <c r="AG203" s="212">
        <f>IF(AF203&gt;100%,100%,AF203)</f>
        <v>0</v>
      </c>
      <c r="AH203" s="216">
        <f>AVERAGE(AH131:AH201)</f>
        <v>0.49591442682621995</v>
      </c>
      <c r="AI203" s="215">
        <f>AVERAGE(AI131:AI201)</f>
        <v>0.38026810707942782</v>
      </c>
      <c r="AL203" s="209"/>
      <c r="AM203" s="208"/>
      <c r="AN203" s="210"/>
      <c r="AO203" s="209"/>
      <c r="AP203" s="208"/>
      <c r="AQ203" s="210"/>
      <c r="AR203" s="209"/>
      <c r="AS203" s="208"/>
      <c r="AT203" s="210"/>
      <c r="AU203" s="209"/>
      <c r="AV203" s="208"/>
      <c r="AZ203" s="209"/>
      <c r="BA203" s="208"/>
      <c r="BB203" s="210"/>
      <c r="BC203" s="209"/>
      <c r="BD203" s="208"/>
      <c r="BE203" s="210"/>
      <c r="BF203" s="209"/>
      <c r="BG203" s="208"/>
      <c r="BH203" s="210"/>
      <c r="BI203" s="209"/>
      <c r="BJ203" s="208"/>
      <c r="BN203" s="209"/>
      <c r="BO203" s="208"/>
      <c r="BP203" s="210"/>
      <c r="BQ203" s="209"/>
      <c r="BR203" s="208"/>
      <c r="BS203" s="210"/>
      <c r="BT203" s="209"/>
      <c r="BU203" s="208"/>
      <c r="BV203" s="210"/>
      <c r="BW203" s="209"/>
      <c r="BX203" s="208"/>
      <c r="CB203" s="209"/>
      <c r="CC203" s="208"/>
      <c r="CD203" s="210"/>
      <c r="CE203" s="209"/>
      <c r="CF203" s="208"/>
      <c r="CG203" s="210"/>
      <c r="CH203" s="209"/>
      <c r="CI203" s="208"/>
      <c r="CJ203" s="210"/>
      <c r="CK203" s="209"/>
      <c r="CL203" s="208"/>
    </row>
    <row r="204" spans="2:92" ht="89.25" customHeight="1" x14ac:dyDescent="0.2">
      <c r="B204" s="1227" t="s">
        <v>1166</v>
      </c>
      <c r="C204" s="1230" t="s">
        <v>1179</v>
      </c>
      <c r="D204" s="1238" t="s">
        <v>1160</v>
      </c>
      <c r="E204" s="1238" t="s">
        <v>13</v>
      </c>
      <c r="F204" s="1239" t="s">
        <v>330</v>
      </c>
      <c r="G204" s="310" t="str">
        <f>+'Plan de Accion Proyectos estrat'!K14</f>
        <v>Apoyos técnicos enviados a la OAJ en recobros y reclamaciones una vez son entregados los reportes a la DOP por la Dirección de Tecnología de la Información</v>
      </c>
      <c r="H204" s="236" t="str">
        <f>+'Plan de Accion Proyectos estrat'!X14</f>
        <v># Apoyos técnicos resueltos y entregados por la DOP a la OAJ / # apoyos técnicos entregados  a DOP por la Dirección de Tecnología, los cuales fueron solicitados por la OAJ</v>
      </c>
      <c r="J204" s="323">
        <f>+'Plan de Accion Proyectos estrat'!AG14</f>
        <v>0.25</v>
      </c>
      <c r="K204" s="503">
        <f>+'Plan de Accion Proyectos estrat'!AI14</f>
        <v>1</v>
      </c>
      <c r="L204" s="503">
        <f t="shared" si="158"/>
        <v>1</v>
      </c>
      <c r="M204" s="503">
        <f>+'Plan de Accion Proyectos estrat'!AK14</f>
        <v>0.25</v>
      </c>
      <c r="N204" s="503">
        <f t="shared" si="89"/>
        <v>0.25</v>
      </c>
      <c r="O204" s="505">
        <f>+N204</f>
        <v>0.25</v>
      </c>
      <c r="P204" s="229"/>
      <c r="Q204" s="323">
        <f>+'Plan de Accion Proyectos estrat'!AQ14</f>
        <v>0.25</v>
      </c>
      <c r="R204" s="324">
        <f>+'Plan de Accion Proyectos estrat'!AS14</f>
        <v>1</v>
      </c>
      <c r="S204" s="228">
        <f t="shared" ref="S204:S210" si="168">IF(R204&gt;100%,100%,R204)</f>
        <v>1</v>
      </c>
      <c r="T204" s="324">
        <f>+'Plan de Accion Proyectos estrat'!AU14</f>
        <v>0.5</v>
      </c>
      <c r="U204" s="324">
        <f t="shared" ref="U204:U210" si="169">IF(T204&gt;100%,100%,T204)</f>
        <v>0.5</v>
      </c>
      <c r="V204" s="227">
        <f t="shared" ref="V204:V210" si="170">+U204</f>
        <v>0.5</v>
      </c>
      <c r="W204" s="229"/>
      <c r="X204" s="323">
        <f>+'Plan de Accion Proyectos estrat'!BA14</f>
        <v>0</v>
      </c>
      <c r="Y204" s="324">
        <f>+'Plan de Accion Proyectos estrat'!BC14</f>
        <v>0</v>
      </c>
      <c r="Z204" s="228">
        <f t="shared" ref="Z204:Z209" si="171">IF(Y204&gt;100%,100%,Y204)</f>
        <v>0</v>
      </c>
      <c r="AA204" s="233">
        <f>+'Plan de Accion Proyectos estrat'!BE14</f>
        <v>0.5</v>
      </c>
      <c r="AB204" s="233">
        <f t="shared" ref="AB204:AB210" si="172">IF(AA204&gt;100%,100%,AA204)</f>
        <v>0.5</v>
      </c>
      <c r="AC204" s="232">
        <f t="shared" ref="AC204:AC209" si="173">+AB204</f>
        <v>0.5</v>
      </c>
      <c r="AD204" s="229"/>
      <c r="AE204" s="323">
        <f>+'Plan de Accion Proyectos estrat'!BK14</f>
        <v>0</v>
      </c>
      <c r="AF204" s="324">
        <f>+'Plan de Accion Proyectos estrat'!BM14</f>
        <v>0</v>
      </c>
      <c r="AG204" s="228">
        <f t="shared" ref="AG204:AG210" si="174">IF(AF204&gt;100%,100%,AF204)</f>
        <v>0</v>
      </c>
      <c r="AH204" s="324">
        <f>+'Plan de Accion Proyectos estrat'!BO14</f>
        <v>0.5</v>
      </c>
      <c r="AI204" s="227">
        <f t="shared" ref="AI204:AI210" si="175">IF(AH204&gt;100%,100%,AH204)</f>
        <v>0.5</v>
      </c>
      <c r="AJ204" s="1273"/>
      <c r="AL204" s="1271"/>
      <c r="AM204" s="1267"/>
      <c r="AN204" s="220"/>
      <c r="AO204" s="1268"/>
      <c r="AP204" s="1267"/>
      <c r="AQ204" s="220"/>
      <c r="AR204" s="1267"/>
      <c r="AS204" s="1267"/>
      <c r="AT204" s="220"/>
      <c r="AU204" s="1267"/>
      <c r="AV204" s="1267"/>
      <c r="AW204" s="218"/>
      <c r="AX204" s="1274"/>
      <c r="AZ204" s="1271"/>
      <c r="BA204" s="1267"/>
      <c r="BB204" s="220"/>
      <c r="BC204" s="1268"/>
      <c r="BD204" s="1267"/>
      <c r="BE204" s="220"/>
      <c r="BF204" s="1267"/>
      <c r="BG204" s="1267"/>
      <c r="BH204" s="220"/>
      <c r="BI204" s="1267"/>
      <c r="BJ204" s="1267"/>
      <c r="BK204" s="218"/>
      <c r="BL204" s="1274"/>
      <c r="BN204" s="1271"/>
      <c r="BO204" s="1267"/>
      <c r="BP204" s="220"/>
      <c r="BQ204" s="1268"/>
      <c r="BR204" s="1267"/>
      <c r="BS204" s="220"/>
      <c r="BT204" s="1267"/>
      <c r="BU204" s="1267"/>
      <c r="BV204" s="220"/>
      <c r="BW204" s="1267"/>
      <c r="BX204" s="1267"/>
      <c r="BY204" s="218"/>
      <c r="BZ204" s="1274"/>
      <c r="CB204" s="1271"/>
      <c r="CC204" s="1267"/>
      <c r="CD204" s="220"/>
      <c r="CE204" s="1268"/>
      <c r="CF204" s="1267"/>
      <c r="CG204" s="220"/>
      <c r="CH204" s="1267"/>
      <c r="CI204" s="1267"/>
      <c r="CJ204" s="220"/>
      <c r="CK204" s="1267"/>
      <c r="CL204" s="1267"/>
      <c r="CM204" s="218"/>
      <c r="CN204" s="1274"/>
    </row>
    <row r="205" spans="2:92" ht="85.5" customHeight="1" x14ac:dyDescent="0.2">
      <c r="B205" s="1228"/>
      <c r="C205" s="1232"/>
      <c r="D205" s="1213"/>
      <c r="E205" s="1212"/>
      <c r="F205" s="1210"/>
      <c r="G205" s="307" t="str">
        <f>+'Plan de Accion Proyectos estrat'!K15</f>
        <v>Informe de alternativas para optimizar y sistematizar el proceso de auditoria integral</v>
      </c>
      <c r="H205" s="236" t="str">
        <f>+'Plan de Accion Proyectos estrat'!X15</f>
        <v># Informes presentados en el periodo</v>
      </c>
      <c r="J205" s="234">
        <f>+'Plan de Accion Proyectos estrat'!AG15</f>
        <v>1</v>
      </c>
      <c r="K205" s="503">
        <f>+'Plan de Accion Proyectos estrat'!AI15</f>
        <v>1</v>
      </c>
      <c r="L205" s="503">
        <f t="shared" si="158"/>
        <v>1</v>
      </c>
      <c r="M205" s="503">
        <f>+'Plan de Accion Proyectos estrat'!AK15</f>
        <v>0.25</v>
      </c>
      <c r="N205" s="503">
        <f t="shared" si="89"/>
        <v>0.25</v>
      </c>
      <c r="O205" s="505">
        <f>+N205</f>
        <v>0.25</v>
      </c>
      <c r="P205" s="229"/>
      <c r="Q205" s="234">
        <f>+'Plan de Accion Proyectos estrat'!AQ15</f>
        <v>1</v>
      </c>
      <c r="R205" s="324">
        <f>+'Plan de Accion Proyectos estrat'!AS15</f>
        <v>1</v>
      </c>
      <c r="S205" s="228">
        <f t="shared" si="168"/>
        <v>1</v>
      </c>
      <c r="T205" s="324">
        <f>+'Plan de Accion Proyectos estrat'!AU15</f>
        <v>0.5</v>
      </c>
      <c r="U205" s="324">
        <f t="shared" si="169"/>
        <v>0.5</v>
      </c>
      <c r="V205" s="227">
        <f t="shared" si="170"/>
        <v>0.5</v>
      </c>
      <c r="W205" s="229"/>
      <c r="X205" s="234">
        <f>+'Plan de Accion Proyectos estrat'!BA15</f>
        <v>0</v>
      </c>
      <c r="Y205" s="324">
        <f>+'Plan de Accion Proyectos estrat'!BC15</f>
        <v>0</v>
      </c>
      <c r="Z205" s="228">
        <f t="shared" si="171"/>
        <v>0</v>
      </c>
      <c r="AA205" s="233">
        <f>+'Plan de Accion Proyectos estrat'!BE15</f>
        <v>0.5</v>
      </c>
      <c r="AB205" s="233">
        <f t="shared" si="172"/>
        <v>0.5</v>
      </c>
      <c r="AC205" s="232">
        <f t="shared" si="173"/>
        <v>0.5</v>
      </c>
      <c r="AD205" s="229"/>
      <c r="AE205" s="235">
        <f>+'Plan de Accion Proyectos estrat'!BK15</f>
        <v>0</v>
      </c>
      <c r="AF205" s="324">
        <f>+'Plan de Accion Proyectos estrat'!BM15</f>
        <v>0</v>
      </c>
      <c r="AG205" s="228">
        <f t="shared" si="174"/>
        <v>0</v>
      </c>
      <c r="AH205" s="324">
        <f>+'Plan de Accion Proyectos estrat'!BO15</f>
        <v>0.5</v>
      </c>
      <c r="AI205" s="227">
        <f t="shared" si="175"/>
        <v>0.5</v>
      </c>
      <c r="AJ205" s="1256"/>
      <c r="AL205" s="1272"/>
      <c r="AM205" s="1258"/>
      <c r="AN205" s="220"/>
      <c r="AO205" s="1269"/>
      <c r="AP205" s="1258"/>
      <c r="AQ205" s="220"/>
      <c r="AR205" s="1258"/>
      <c r="AS205" s="1258"/>
      <c r="AT205" s="220"/>
      <c r="AU205" s="1258"/>
      <c r="AV205" s="1258"/>
      <c r="AW205" s="218"/>
      <c r="AX205" s="1275"/>
      <c r="AZ205" s="1272"/>
      <c r="BA205" s="1258"/>
      <c r="BB205" s="220"/>
      <c r="BC205" s="1269"/>
      <c r="BD205" s="1258"/>
      <c r="BE205" s="220"/>
      <c r="BF205" s="1258"/>
      <c r="BG205" s="1258"/>
      <c r="BH205" s="220"/>
      <c r="BI205" s="1258"/>
      <c r="BJ205" s="1258"/>
      <c r="BK205" s="218"/>
      <c r="BL205" s="1275"/>
      <c r="BN205" s="1272"/>
      <c r="BO205" s="1258"/>
      <c r="BP205" s="220"/>
      <c r="BQ205" s="1269"/>
      <c r="BR205" s="1258"/>
      <c r="BS205" s="220"/>
      <c r="BT205" s="1258"/>
      <c r="BU205" s="1258"/>
      <c r="BV205" s="220"/>
      <c r="BW205" s="1258"/>
      <c r="BX205" s="1258"/>
      <c r="BY205" s="218"/>
      <c r="BZ205" s="1275"/>
      <c r="CB205" s="1272"/>
      <c r="CC205" s="1258"/>
      <c r="CD205" s="220"/>
      <c r="CE205" s="1269"/>
      <c r="CF205" s="1258"/>
      <c r="CG205" s="220"/>
      <c r="CH205" s="1258"/>
      <c r="CI205" s="1258"/>
      <c r="CJ205" s="220"/>
      <c r="CK205" s="1258"/>
      <c r="CL205" s="1258"/>
      <c r="CM205" s="218"/>
      <c r="CN205" s="1275"/>
    </row>
    <row r="206" spans="2:92" ht="156.75" x14ac:dyDescent="0.2">
      <c r="B206" s="1228"/>
      <c r="C206" s="356" t="s">
        <v>1180</v>
      </c>
      <c r="D206" s="328" t="s">
        <v>1182</v>
      </c>
      <c r="E206" s="335" t="s">
        <v>230</v>
      </c>
      <c r="F206" s="320" t="s">
        <v>330</v>
      </c>
      <c r="G206" s="335" t="str">
        <f>+'Plan de Accion Proyectos estrat'!K25</f>
        <v>Apoyo en soporte, desarrollo y mantenimiento e integración de aplicativos misionales</v>
      </c>
      <c r="H206" s="236" t="str">
        <f>+'Plan de Accion Proyectos estrat'!X25</f>
        <v xml:space="preserve"># Requerimientos de aplicaciones misionales atendidos en términos de ANS para el trimestre/ # Requerimientos de aplicaciones misionales programados para el trimestre conforme al ANS 
</v>
      </c>
      <c r="J206" s="323">
        <f>+'Plan de Accion Proyectos estrat'!AG25</f>
        <v>0.24837239583333334</v>
      </c>
      <c r="K206" s="503">
        <f>+'Plan de Accion Proyectos estrat'!AI25</f>
        <v>0.99348958333333337</v>
      </c>
      <c r="L206" s="503">
        <f t="shared" si="158"/>
        <v>0.99348958333333337</v>
      </c>
      <c r="M206" s="503">
        <f>+'Plan de Accion Proyectos estrat'!AK25</f>
        <v>0.24837239583333334</v>
      </c>
      <c r="N206" s="503">
        <f t="shared" si="89"/>
        <v>0.24837239583333334</v>
      </c>
      <c r="O206" s="505">
        <f>+N206</f>
        <v>0.24837239583333334</v>
      </c>
      <c r="P206" s="229"/>
      <c r="Q206" s="323">
        <f>+'Plan de Accion Proyectos estrat'!AQ25</f>
        <v>0.2494911804613297</v>
      </c>
      <c r="R206" s="324">
        <f>+'Plan de Accion Proyectos estrat'!AS25</f>
        <v>0.99796472184531881</v>
      </c>
      <c r="S206" s="228">
        <f t="shared" si="168"/>
        <v>0.99796472184531881</v>
      </c>
      <c r="T206" s="324">
        <f>+'Plan de Accion Proyectos estrat'!AU25</f>
        <v>0.49786357629466305</v>
      </c>
      <c r="U206" s="324">
        <f t="shared" si="169"/>
        <v>0.49786357629466305</v>
      </c>
      <c r="V206" s="227">
        <f t="shared" si="170"/>
        <v>0.49786357629466305</v>
      </c>
      <c r="W206" s="229"/>
      <c r="X206" s="323">
        <f>+'Plan de Accion Proyectos estrat'!BA25</f>
        <v>0</v>
      </c>
      <c r="Y206" s="324">
        <f>+'Plan de Accion Proyectos estrat'!BC25</f>
        <v>0</v>
      </c>
      <c r="Z206" s="228">
        <f t="shared" si="171"/>
        <v>0</v>
      </c>
      <c r="AA206" s="233">
        <f>+'Plan de Accion Proyectos estrat'!BE25</f>
        <v>0.49786357629466305</v>
      </c>
      <c r="AB206" s="233">
        <f t="shared" si="172"/>
        <v>0.49786357629466305</v>
      </c>
      <c r="AC206" s="232">
        <f t="shared" si="173"/>
        <v>0.49786357629466305</v>
      </c>
      <c r="AD206" s="229"/>
      <c r="AE206" s="323">
        <f>+'Plan de Accion Proyectos estrat'!BK25</f>
        <v>0</v>
      </c>
      <c r="AF206" s="324">
        <f>+'Plan de Accion Proyectos estrat'!BM25</f>
        <v>0</v>
      </c>
      <c r="AG206" s="228">
        <f t="shared" si="174"/>
        <v>0</v>
      </c>
      <c r="AH206" s="324">
        <f>+'Plan de Accion Proyectos estrat'!BO25</f>
        <v>0.49786357629466305</v>
      </c>
      <c r="AI206" s="227">
        <f t="shared" si="175"/>
        <v>0.49786357629466305</v>
      </c>
      <c r="AJ206" s="1256"/>
      <c r="AL206" s="1272"/>
      <c r="AM206" s="1258"/>
      <c r="AN206" s="220"/>
      <c r="AO206" s="1269"/>
      <c r="AP206" s="1258"/>
      <c r="AQ206" s="220"/>
      <c r="AR206" s="1258"/>
      <c r="AS206" s="1258"/>
      <c r="AT206" s="220"/>
      <c r="AU206" s="1258"/>
      <c r="AV206" s="1258"/>
      <c r="AW206" s="218"/>
      <c r="AX206" s="1275"/>
      <c r="AZ206" s="1272"/>
      <c r="BA206" s="1258"/>
      <c r="BB206" s="220"/>
      <c r="BC206" s="1269"/>
      <c r="BD206" s="1258"/>
      <c r="BE206" s="220"/>
      <c r="BF206" s="1258"/>
      <c r="BG206" s="1258"/>
      <c r="BH206" s="220"/>
      <c r="BI206" s="1258"/>
      <c r="BJ206" s="1258"/>
      <c r="BK206" s="218"/>
      <c r="BL206" s="1275"/>
      <c r="BN206" s="1272"/>
      <c r="BO206" s="1258"/>
      <c r="BP206" s="220"/>
      <c r="BQ206" s="1269"/>
      <c r="BR206" s="1258"/>
      <c r="BS206" s="220"/>
      <c r="BT206" s="1258"/>
      <c r="BU206" s="1258"/>
      <c r="BV206" s="220"/>
      <c r="BW206" s="1258"/>
      <c r="BX206" s="1258"/>
      <c r="BY206" s="218"/>
      <c r="BZ206" s="1275"/>
      <c r="CB206" s="1272"/>
      <c r="CC206" s="1258"/>
      <c r="CD206" s="220"/>
      <c r="CE206" s="1269"/>
      <c r="CF206" s="1258"/>
      <c r="CG206" s="220"/>
      <c r="CH206" s="1258"/>
      <c r="CI206" s="1258"/>
      <c r="CJ206" s="220"/>
      <c r="CK206" s="1258"/>
      <c r="CL206" s="1258"/>
      <c r="CM206" s="218"/>
      <c r="CN206" s="1275"/>
    </row>
    <row r="207" spans="2:92" ht="57" customHeight="1" x14ac:dyDescent="0.2">
      <c r="B207" s="1228"/>
      <c r="C207" s="1237" t="s">
        <v>344</v>
      </c>
      <c r="D207" s="1303" t="s">
        <v>340</v>
      </c>
      <c r="E207" s="1211" t="s">
        <v>12</v>
      </c>
      <c r="F207" s="1202" t="s">
        <v>330</v>
      </c>
      <c r="G207" s="335" t="str">
        <f>+'Plan de Accion Proyectos estrat'!K27</f>
        <v>Procesos optimizados mediante desarrollos o ajustes tecnológicos</v>
      </c>
      <c r="H207" s="236" t="str">
        <f>+'Plan de Accion Proyectos estrat'!X27</f>
        <v># Procesos optimizados</v>
      </c>
      <c r="J207" s="234">
        <f>+'Plan de Accion Proyectos estrat'!AG27</f>
        <v>0</v>
      </c>
      <c r="K207" s="503">
        <v>0</v>
      </c>
      <c r="L207" s="503">
        <f t="shared" si="158"/>
        <v>0</v>
      </c>
      <c r="M207" s="503">
        <f>+'Plan de Accion Proyectos estrat'!AK27</f>
        <v>0</v>
      </c>
      <c r="N207" s="503">
        <f t="shared" si="89"/>
        <v>0</v>
      </c>
      <c r="O207" s="505">
        <f>+N207</f>
        <v>0</v>
      </c>
      <c r="P207" s="229"/>
      <c r="Q207" s="234">
        <f>+'Plan de Accion Proyectos estrat'!AQ27</f>
        <v>0</v>
      </c>
      <c r="R207" s="324" t="s">
        <v>180</v>
      </c>
      <c r="S207" s="228" t="s">
        <v>204</v>
      </c>
      <c r="T207" s="324">
        <f>+'Plan de Accion Proyectos estrat'!AU27</f>
        <v>0</v>
      </c>
      <c r="U207" s="324">
        <f t="shared" si="169"/>
        <v>0</v>
      </c>
      <c r="V207" s="227">
        <f t="shared" si="170"/>
        <v>0</v>
      </c>
      <c r="W207" s="229"/>
      <c r="X207" s="234">
        <f>+'Plan de Accion Proyectos estrat'!BA27</f>
        <v>0</v>
      </c>
      <c r="Y207" s="324" t="s">
        <v>180</v>
      </c>
      <c r="Z207" s="228" t="s">
        <v>204</v>
      </c>
      <c r="AA207" s="233">
        <f>+'Plan de Accion Proyectos estrat'!BE27</f>
        <v>0</v>
      </c>
      <c r="AB207" s="233">
        <f t="shared" si="172"/>
        <v>0</v>
      </c>
      <c r="AC207" s="232">
        <f t="shared" si="173"/>
        <v>0</v>
      </c>
      <c r="AD207" s="229"/>
      <c r="AE207" s="235">
        <f>+'Plan de Accion Proyectos estrat'!BK27</f>
        <v>0</v>
      </c>
      <c r="AF207" s="324">
        <f>+'Plan de Accion Proyectos estrat'!BM27</f>
        <v>0</v>
      </c>
      <c r="AG207" s="228">
        <f t="shared" si="174"/>
        <v>0</v>
      </c>
      <c r="AH207" s="324">
        <f>+'Plan de Accion Proyectos estrat'!BO27</f>
        <v>0</v>
      </c>
      <c r="AI207" s="227">
        <f t="shared" si="175"/>
        <v>0</v>
      </c>
      <c r="AJ207" s="1256"/>
      <c r="AL207" s="1272"/>
      <c r="AM207" s="1258"/>
      <c r="AN207" s="220"/>
      <c r="AO207" s="1269"/>
      <c r="AP207" s="1258"/>
      <c r="AQ207" s="220"/>
      <c r="AR207" s="1258"/>
      <c r="AS207" s="1258"/>
      <c r="AT207" s="220"/>
      <c r="AU207" s="1258"/>
      <c r="AV207" s="1258"/>
      <c r="AW207" s="218"/>
      <c r="AX207" s="1275"/>
      <c r="AZ207" s="1272"/>
      <c r="BA207" s="1258"/>
      <c r="BB207" s="220"/>
      <c r="BC207" s="1269"/>
      <c r="BD207" s="1258"/>
      <c r="BE207" s="220"/>
      <c r="BF207" s="1258"/>
      <c r="BG207" s="1258"/>
      <c r="BH207" s="220"/>
      <c r="BI207" s="1258"/>
      <c r="BJ207" s="1258"/>
      <c r="BK207" s="218"/>
      <c r="BL207" s="1275"/>
      <c r="BN207" s="1272"/>
      <c r="BO207" s="1258"/>
      <c r="BP207" s="220"/>
      <c r="BQ207" s="1269"/>
      <c r="BR207" s="1258"/>
      <c r="BS207" s="220"/>
      <c r="BT207" s="1258"/>
      <c r="BU207" s="1258"/>
      <c r="BV207" s="220"/>
      <c r="BW207" s="1258"/>
      <c r="BX207" s="1258"/>
      <c r="BY207" s="218"/>
      <c r="BZ207" s="1275"/>
      <c r="CB207" s="1272"/>
      <c r="CC207" s="1258"/>
      <c r="CD207" s="220"/>
      <c r="CE207" s="1269"/>
      <c r="CF207" s="1258"/>
      <c r="CG207" s="220"/>
      <c r="CH207" s="1258"/>
      <c r="CI207" s="1258"/>
      <c r="CJ207" s="220"/>
      <c r="CK207" s="1258"/>
      <c r="CL207" s="1258"/>
      <c r="CM207" s="218"/>
      <c r="CN207" s="1275"/>
    </row>
    <row r="208" spans="2:92" ht="78.75" customHeight="1" x14ac:dyDescent="0.2">
      <c r="B208" s="1228"/>
      <c r="C208" s="1237"/>
      <c r="D208" s="1303"/>
      <c r="E208" s="1212"/>
      <c r="F208" s="1210"/>
      <c r="G208" s="335" t="str">
        <f>+'Plan de Accion Proyectos estrat'!K28</f>
        <v>Controles de los procesos de liquidación y reconocimiento de UPC y de prestaciones económicas verificados y ajustados</v>
      </c>
      <c r="H208" s="236" t="str">
        <f>+'Plan de Accion Proyectos estrat'!X28</f>
        <v># Controles verificados y ajustados / # controles con ajuste requerido</v>
      </c>
      <c r="J208" s="323">
        <f>+'Plan de Accion Proyectos estrat'!AG28</f>
        <v>0.25</v>
      </c>
      <c r="K208" s="503">
        <f>+'Plan de Accion Proyectos estrat'!AI28</f>
        <v>1</v>
      </c>
      <c r="L208" s="503">
        <f t="shared" si="158"/>
        <v>1</v>
      </c>
      <c r="M208" s="503">
        <f>+'Plan de Accion Proyectos estrat'!AK28</f>
        <v>0.25</v>
      </c>
      <c r="N208" s="503">
        <f t="shared" si="89"/>
        <v>0.25</v>
      </c>
      <c r="O208" s="505">
        <f>+N208</f>
        <v>0.25</v>
      </c>
      <c r="P208" s="229"/>
      <c r="Q208" s="323">
        <f>+'Plan de Accion Proyectos estrat'!AQ28</f>
        <v>0.25</v>
      </c>
      <c r="R208" s="324">
        <f>+'Plan de Accion Proyectos estrat'!AS28</f>
        <v>1</v>
      </c>
      <c r="S208" s="228">
        <f t="shared" si="168"/>
        <v>1</v>
      </c>
      <c r="T208" s="324">
        <f>+'Plan de Accion Proyectos estrat'!AU28</f>
        <v>0.5</v>
      </c>
      <c r="U208" s="324">
        <f t="shared" si="169"/>
        <v>0.5</v>
      </c>
      <c r="V208" s="227">
        <f t="shared" si="170"/>
        <v>0.5</v>
      </c>
      <c r="W208" s="229"/>
      <c r="X208" s="323">
        <f>+'Plan de Accion Proyectos estrat'!BA28</f>
        <v>0</v>
      </c>
      <c r="Y208" s="324">
        <f>+'Plan de Accion Proyectos estrat'!BC28</f>
        <v>0</v>
      </c>
      <c r="Z208" s="228">
        <f t="shared" si="171"/>
        <v>0</v>
      </c>
      <c r="AA208" s="233">
        <f>+'Plan de Accion Proyectos estrat'!BE28</f>
        <v>0.5</v>
      </c>
      <c r="AB208" s="233">
        <f t="shared" si="172"/>
        <v>0.5</v>
      </c>
      <c r="AC208" s="232">
        <f t="shared" si="173"/>
        <v>0.5</v>
      </c>
      <c r="AD208" s="229"/>
      <c r="AE208" s="323">
        <f>+'Plan de Accion Proyectos estrat'!BK28</f>
        <v>0</v>
      </c>
      <c r="AF208" s="324">
        <f>+'Plan de Accion Proyectos estrat'!BM28</f>
        <v>0</v>
      </c>
      <c r="AG208" s="228">
        <f t="shared" si="174"/>
        <v>0</v>
      </c>
      <c r="AH208" s="324">
        <f>+'Plan de Accion Proyectos estrat'!BO28</f>
        <v>0.5</v>
      </c>
      <c r="AI208" s="227">
        <f t="shared" si="175"/>
        <v>0.5</v>
      </c>
      <c r="AJ208" s="1256"/>
      <c r="AL208" s="1272"/>
      <c r="AM208" s="1258"/>
      <c r="AN208" s="220"/>
      <c r="AO208" s="1269"/>
      <c r="AP208" s="1258"/>
      <c r="AQ208" s="220"/>
      <c r="AR208" s="1258"/>
      <c r="AS208" s="1258"/>
      <c r="AT208" s="220"/>
      <c r="AU208" s="1258"/>
      <c r="AV208" s="1258"/>
      <c r="AW208" s="218"/>
      <c r="AX208" s="1275"/>
      <c r="AZ208" s="1272"/>
      <c r="BA208" s="1258"/>
      <c r="BB208" s="220"/>
      <c r="BC208" s="1269"/>
      <c r="BD208" s="1258"/>
      <c r="BE208" s="220"/>
      <c r="BF208" s="1258"/>
      <c r="BG208" s="1258"/>
      <c r="BH208" s="220"/>
      <c r="BI208" s="1258"/>
      <c r="BJ208" s="1258"/>
      <c r="BK208" s="218"/>
      <c r="BL208" s="1275"/>
      <c r="BN208" s="1272"/>
      <c r="BO208" s="1258"/>
      <c r="BP208" s="220"/>
      <c r="BQ208" s="1269"/>
      <c r="BR208" s="1258"/>
      <c r="BS208" s="220"/>
      <c r="BT208" s="1258"/>
      <c r="BU208" s="1258"/>
      <c r="BV208" s="220"/>
      <c r="BW208" s="1258"/>
      <c r="BX208" s="1258"/>
      <c r="BY208" s="218"/>
      <c r="BZ208" s="1275"/>
      <c r="CB208" s="1272"/>
      <c r="CC208" s="1258"/>
      <c r="CD208" s="220"/>
      <c r="CE208" s="1269"/>
      <c r="CF208" s="1258"/>
      <c r="CG208" s="220"/>
      <c r="CH208" s="1258"/>
      <c r="CI208" s="1258"/>
      <c r="CJ208" s="220"/>
      <c r="CK208" s="1258"/>
      <c r="CL208" s="1258"/>
      <c r="CM208" s="218"/>
      <c r="CN208" s="1275"/>
    </row>
    <row r="209" spans="2:92" ht="77.25" customHeight="1" x14ac:dyDescent="0.2">
      <c r="B209" s="1228"/>
      <c r="C209" s="1237"/>
      <c r="D209" s="1303"/>
      <c r="E209" s="1213"/>
      <c r="F209" s="1203"/>
      <c r="G209" s="335" t="str">
        <f>+'Plan de Accion Proyectos estrat'!K34</f>
        <v>Informes de auditoría de los procesos de liquidación y reconocimiento de UPC de los afiliados al régimen contributivo y subsidiado</v>
      </c>
      <c r="H209" s="236" t="str">
        <f>+'Plan de Accion Proyectos estrat'!X34</f>
        <v># Informes de auditoría elaborados</v>
      </c>
      <c r="J209" s="234">
        <f>+'Plan de Accion Proyectos estrat'!AG34</f>
        <v>0</v>
      </c>
      <c r="K209" s="503" t="str">
        <f>+'Plan de Accion Proyectos estrat'!BR34</f>
        <v>No Prog ni Ejec</v>
      </c>
      <c r="L209" s="503" t="s">
        <v>204</v>
      </c>
      <c r="M209" s="503">
        <f>+'Plan de Accion Proyectos estrat'!AK34</f>
        <v>0</v>
      </c>
      <c r="N209" s="503">
        <f t="shared" si="89"/>
        <v>0</v>
      </c>
      <c r="O209" s="505" t="s">
        <v>204</v>
      </c>
      <c r="P209" s="229"/>
      <c r="Q209" s="234">
        <f>+'Plan de Accion Proyectos estrat'!AQ34</f>
        <v>2</v>
      </c>
      <c r="R209" s="324">
        <f>+'Plan de Accion Proyectos estrat'!AS34</f>
        <v>1</v>
      </c>
      <c r="S209" s="228">
        <f t="shared" si="168"/>
        <v>1</v>
      </c>
      <c r="T209" s="324">
        <f>+'Plan de Accion Proyectos estrat'!AU34</f>
        <v>0.33333333333333331</v>
      </c>
      <c r="U209" s="324">
        <f t="shared" si="169"/>
        <v>0.33333333333333331</v>
      </c>
      <c r="V209" s="227">
        <f t="shared" si="170"/>
        <v>0.33333333333333331</v>
      </c>
      <c r="W209" s="229"/>
      <c r="X209" s="234">
        <f>+'Plan de Accion Proyectos estrat'!BA34</f>
        <v>0</v>
      </c>
      <c r="Y209" s="324">
        <f>+'Plan de Accion Proyectos estrat'!BC34</f>
        <v>0</v>
      </c>
      <c r="Z209" s="228">
        <f t="shared" si="171"/>
        <v>0</v>
      </c>
      <c r="AA209" s="233">
        <f>+'Plan de Accion Proyectos estrat'!BE34</f>
        <v>0.33333333333333331</v>
      </c>
      <c r="AB209" s="233">
        <f t="shared" si="172"/>
        <v>0.33333333333333331</v>
      </c>
      <c r="AC209" s="232">
        <f t="shared" si="173"/>
        <v>0.33333333333333331</v>
      </c>
      <c r="AD209" s="229"/>
      <c r="AE209" s="235">
        <f>+'Plan de Accion Proyectos estrat'!BK34</f>
        <v>0</v>
      </c>
      <c r="AF209" s="324">
        <f>+'Plan de Accion Proyectos estrat'!BM34</f>
        <v>0</v>
      </c>
      <c r="AG209" s="228">
        <f t="shared" si="174"/>
        <v>0</v>
      </c>
      <c r="AH209" s="324">
        <f>+'Plan de Accion Proyectos estrat'!BO34</f>
        <v>0.33333333333333331</v>
      </c>
      <c r="AI209" s="227">
        <f t="shared" si="175"/>
        <v>0.33333333333333331</v>
      </c>
      <c r="AJ209" s="1256"/>
      <c r="AL209" s="1272"/>
      <c r="AM209" s="1258"/>
      <c r="AN209" s="220"/>
      <c r="AO209" s="1269"/>
      <c r="AP209" s="1258"/>
      <c r="AQ209" s="220"/>
      <c r="AR209" s="1258"/>
      <c r="AS209" s="1258"/>
      <c r="AT209" s="220"/>
      <c r="AU209" s="1258"/>
      <c r="AV209" s="1258"/>
      <c r="AW209" s="218"/>
      <c r="AX209" s="1275"/>
      <c r="AZ209" s="1272"/>
      <c r="BA209" s="1258"/>
      <c r="BB209" s="220"/>
      <c r="BC209" s="1269"/>
      <c r="BD209" s="1258"/>
      <c r="BE209" s="220"/>
      <c r="BF209" s="1258"/>
      <c r="BG209" s="1258"/>
      <c r="BH209" s="220"/>
      <c r="BI209" s="1258"/>
      <c r="BJ209" s="1258"/>
      <c r="BK209" s="218"/>
      <c r="BL209" s="1275"/>
      <c r="BN209" s="1272"/>
      <c r="BO209" s="1258"/>
      <c r="BP209" s="220"/>
      <c r="BQ209" s="1269"/>
      <c r="BR209" s="1258"/>
      <c r="BS209" s="220"/>
      <c r="BT209" s="1258"/>
      <c r="BU209" s="1258"/>
      <c r="BV209" s="220"/>
      <c r="BW209" s="1258"/>
      <c r="BX209" s="1258"/>
      <c r="BY209" s="218"/>
      <c r="BZ209" s="1275"/>
      <c r="CB209" s="1272"/>
      <c r="CC209" s="1258"/>
      <c r="CD209" s="220"/>
      <c r="CE209" s="1269"/>
      <c r="CF209" s="1258"/>
      <c r="CG209" s="220"/>
      <c r="CH209" s="1258"/>
      <c r="CI209" s="1258"/>
      <c r="CJ209" s="220"/>
      <c r="CK209" s="1258"/>
      <c r="CL209" s="1258"/>
      <c r="CM209" s="218"/>
      <c r="CN209" s="1275"/>
    </row>
    <row r="210" spans="2:92" ht="71.25" x14ac:dyDescent="0.2">
      <c r="B210" s="1228"/>
      <c r="C210" s="1230" t="s">
        <v>60</v>
      </c>
      <c r="D210" s="1233" t="s">
        <v>1184</v>
      </c>
      <c r="E210" s="1211" t="s">
        <v>125</v>
      </c>
      <c r="F210" s="1202" t="s">
        <v>330</v>
      </c>
      <c r="G210" s="335" t="str">
        <f>+'Plan de Accion Proyectos estrat'!K36</f>
        <v>Documentos de acercamiento con la rama judicial (Comunicaciones o actas de reuniones o actos administrativos)</v>
      </c>
      <c r="H210" s="236" t="str">
        <f>+'Plan de Accion Proyectos estrat'!X36</f>
        <v># Documentos de acercamiento con la rama judicial</v>
      </c>
      <c r="J210" s="234">
        <f>+'Plan de Accion Proyectos estrat'!AG36</f>
        <v>0</v>
      </c>
      <c r="K210" s="503" t="str">
        <f>+'Plan de Accion Proyectos estrat'!BR36</f>
        <v>No Prog ni Ejec</v>
      </c>
      <c r="L210" s="503" t="s">
        <v>204</v>
      </c>
      <c r="M210" s="503">
        <f>+'Plan de Accion Proyectos estrat'!AK36</f>
        <v>0</v>
      </c>
      <c r="N210" s="503">
        <f t="shared" si="89"/>
        <v>0</v>
      </c>
      <c r="O210" s="505" t="s">
        <v>204</v>
      </c>
      <c r="P210" s="229"/>
      <c r="Q210" s="234">
        <f>+'Plan de Accion Proyectos estrat'!AQ36</f>
        <v>0</v>
      </c>
      <c r="R210" s="324">
        <f>+'Plan de Accion Proyectos estrat'!BT36</f>
        <v>0</v>
      </c>
      <c r="S210" s="228">
        <f t="shared" si="168"/>
        <v>0</v>
      </c>
      <c r="T210" s="324">
        <f>+'Plan de Accion Proyectos estrat'!AU36</f>
        <v>0</v>
      </c>
      <c r="U210" s="324">
        <f t="shared" si="169"/>
        <v>0</v>
      </c>
      <c r="V210" s="227">
        <f t="shared" si="170"/>
        <v>0</v>
      </c>
      <c r="W210" s="229"/>
      <c r="X210" s="234">
        <f>+'Plan de Accion Proyectos estrat'!BA36</f>
        <v>0</v>
      </c>
      <c r="Y210" s="324" t="str">
        <f>+'Plan de Accion Proyectos estrat'!BV36</f>
        <v>No Prog ni Ejec</v>
      </c>
      <c r="Z210" s="228" t="s">
        <v>204</v>
      </c>
      <c r="AA210" s="233">
        <f>+'Plan de Accion Proyectos estrat'!BE36</f>
        <v>0</v>
      </c>
      <c r="AB210" s="233">
        <f t="shared" si="172"/>
        <v>0</v>
      </c>
      <c r="AC210" s="232" t="s">
        <v>204</v>
      </c>
      <c r="AD210" s="229"/>
      <c r="AE210" s="235">
        <f>+'Plan de Accion Proyectos estrat'!BK36</f>
        <v>0</v>
      </c>
      <c r="AF210" s="324">
        <f>+'Plan de Accion Proyectos estrat'!BX36</f>
        <v>0</v>
      </c>
      <c r="AG210" s="228">
        <f t="shared" si="174"/>
        <v>0</v>
      </c>
      <c r="AH210" s="324">
        <f>+'Plan de Accion Proyectos estrat'!BO36</f>
        <v>0</v>
      </c>
      <c r="AI210" s="227">
        <f t="shared" si="175"/>
        <v>0</v>
      </c>
      <c r="AJ210" s="1256"/>
      <c r="AL210" s="1272"/>
      <c r="AM210" s="1258"/>
      <c r="AN210" s="220"/>
      <c r="AO210" s="1269"/>
      <c r="AP210" s="1258"/>
      <c r="AQ210" s="220"/>
      <c r="AR210" s="1258"/>
      <c r="AS210" s="1258"/>
      <c r="AT210" s="220"/>
      <c r="AU210" s="1258"/>
      <c r="AV210" s="1258"/>
      <c r="AW210" s="218"/>
      <c r="AX210" s="1275"/>
      <c r="AZ210" s="1272"/>
      <c r="BA210" s="1258"/>
      <c r="BB210" s="220"/>
      <c r="BC210" s="1269"/>
      <c r="BD210" s="1258"/>
      <c r="BE210" s="220"/>
      <c r="BF210" s="1258"/>
      <c r="BG210" s="1258"/>
      <c r="BH210" s="220"/>
      <c r="BI210" s="1258"/>
      <c r="BJ210" s="1258"/>
      <c r="BK210" s="218"/>
      <c r="BL210" s="1275"/>
      <c r="BN210" s="1272"/>
      <c r="BO210" s="1258"/>
      <c r="BP210" s="220"/>
      <c r="BQ210" s="1269"/>
      <c r="BR210" s="1258"/>
      <c r="BS210" s="220"/>
      <c r="BT210" s="1258"/>
      <c r="BU210" s="1258"/>
      <c r="BV210" s="220"/>
      <c r="BW210" s="1258"/>
      <c r="BX210" s="1258"/>
      <c r="BY210" s="218"/>
      <c r="BZ210" s="1275"/>
      <c r="CB210" s="1272"/>
      <c r="CC210" s="1258"/>
      <c r="CD210" s="220"/>
      <c r="CE210" s="1269"/>
      <c r="CF210" s="1258"/>
      <c r="CG210" s="220"/>
      <c r="CH210" s="1258"/>
      <c r="CI210" s="1258"/>
      <c r="CJ210" s="220"/>
      <c r="CK210" s="1258"/>
      <c r="CL210" s="1258"/>
      <c r="CM210" s="218"/>
      <c r="CN210" s="1275"/>
    </row>
    <row r="211" spans="2:92" ht="57" x14ac:dyDescent="0.2">
      <c r="B211" s="1228"/>
      <c r="C211" s="1231"/>
      <c r="D211" s="1234"/>
      <c r="E211" s="1212"/>
      <c r="F211" s="1210"/>
      <c r="G211" s="335" t="str">
        <f>+'Plan de Accion Proyectos estrat'!K37</f>
        <v>Otro sí al convenio especificando las necesidades y acceso a la información</v>
      </c>
      <c r="H211" s="236" t="str">
        <f>+'Plan de Accion Proyectos estrat'!X37</f>
        <v># Otro si suscritos</v>
      </c>
      <c r="J211" s="234">
        <f>+'Plan de Accion Proyectos estrat'!AG37</f>
        <v>0</v>
      </c>
      <c r="K211" s="503" t="str">
        <f>+'Plan de Accion Proyectos estrat'!BR37</f>
        <v>No Prog ni Ejec</v>
      </c>
      <c r="L211" s="503" t="s">
        <v>204</v>
      </c>
      <c r="M211" s="503">
        <f>+'Plan de Accion Proyectos estrat'!AK37</f>
        <v>0</v>
      </c>
      <c r="N211" s="503">
        <f t="shared" si="89"/>
        <v>0</v>
      </c>
      <c r="O211" s="505" t="s">
        <v>204</v>
      </c>
      <c r="P211" s="229"/>
      <c r="Q211" s="234">
        <f>+'Plan de Accion Proyectos estrat'!AQ37</f>
        <v>0</v>
      </c>
      <c r="R211" s="324" t="str">
        <f>+'Plan de Accion Proyectos estrat'!BT37</f>
        <v>No Prog ni Ejec</v>
      </c>
      <c r="S211" s="228" t="s">
        <v>204</v>
      </c>
      <c r="T211" s="324">
        <f>+'Plan de Accion Proyectos estrat'!AU37</f>
        <v>0</v>
      </c>
      <c r="U211" s="324">
        <f t="shared" ref="U211:U218" si="176">IF(T211&gt;100%,100%,T211)</f>
        <v>0</v>
      </c>
      <c r="V211" s="227" t="s">
        <v>204</v>
      </c>
      <c r="W211" s="229"/>
      <c r="X211" s="234">
        <f>+'Plan de Accion Proyectos estrat'!BA37</f>
        <v>0</v>
      </c>
      <c r="Y211" s="324" t="str">
        <f>+'Plan de Accion Proyectos estrat'!BV37</f>
        <v>No Prog ni Ejec</v>
      </c>
      <c r="Z211" s="228" t="s">
        <v>204</v>
      </c>
      <c r="AA211" s="233">
        <f>+'Plan de Accion Proyectos estrat'!BE37</f>
        <v>0</v>
      </c>
      <c r="AB211" s="233">
        <f t="shared" ref="AB211:AB219" si="177">IF(AA211&gt;100%,100%,AA211)</f>
        <v>0</v>
      </c>
      <c r="AC211" s="232" t="s">
        <v>204</v>
      </c>
      <c r="AD211" s="229"/>
      <c r="AE211" s="235">
        <f>+'Plan de Accion Proyectos estrat'!BK37</f>
        <v>0</v>
      </c>
      <c r="AF211" s="324">
        <f>+'Plan de Accion Proyectos estrat'!BX37</f>
        <v>0</v>
      </c>
      <c r="AG211" s="228">
        <f t="shared" ref="AG211:AG219" si="178">IF(AF211&gt;100%,100%,AF211)</f>
        <v>0</v>
      </c>
      <c r="AH211" s="324">
        <f>+'Plan de Accion Proyectos estrat'!BO37</f>
        <v>0</v>
      </c>
      <c r="AI211" s="227">
        <f t="shared" ref="AI211:AI219" si="179">IF(AH211&gt;100%,100%,AH211)</f>
        <v>0</v>
      </c>
      <c r="AJ211" s="1256"/>
      <c r="AL211" s="1272"/>
      <c r="AM211" s="1258"/>
      <c r="AN211" s="220"/>
      <c r="AO211" s="1269"/>
      <c r="AP211" s="1258"/>
      <c r="AQ211" s="220"/>
      <c r="AR211" s="1258"/>
      <c r="AS211" s="1258"/>
      <c r="AT211" s="220"/>
      <c r="AU211" s="1258"/>
      <c r="AV211" s="1258"/>
      <c r="AW211" s="218"/>
      <c r="AX211" s="1275"/>
      <c r="AZ211" s="1272"/>
      <c r="BA211" s="1258"/>
      <c r="BB211" s="220"/>
      <c r="BC211" s="1269"/>
      <c r="BD211" s="1258"/>
      <c r="BE211" s="220"/>
      <c r="BF211" s="1258"/>
      <c r="BG211" s="1258"/>
      <c r="BH211" s="220"/>
      <c r="BI211" s="1258"/>
      <c r="BJ211" s="1258"/>
      <c r="BK211" s="218"/>
      <c r="BL211" s="1275"/>
      <c r="BN211" s="1272"/>
      <c r="BO211" s="1258"/>
      <c r="BP211" s="220"/>
      <c r="BQ211" s="1269"/>
      <c r="BR211" s="1258"/>
      <c r="BS211" s="220"/>
      <c r="BT211" s="1258"/>
      <c r="BU211" s="1258"/>
      <c r="BV211" s="220"/>
      <c r="BW211" s="1258"/>
      <c r="BX211" s="1258"/>
      <c r="BY211" s="218"/>
      <c r="BZ211" s="1275"/>
      <c r="CB211" s="1272"/>
      <c r="CC211" s="1258"/>
      <c r="CD211" s="220"/>
      <c r="CE211" s="1269"/>
      <c r="CF211" s="1258"/>
      <c r="CG211" s="220"/>
      <c r="CH211" s="1258"/>
      <c r="CI211" s="1258"/>
      <c r="CJ211" s="220"/>
      <c r="CK211" s="1258"/>
      <c r="CL211" s="1258"/>
      <c r="CM211" s="218"/>
      <c r="CN211" s="1275"/>
    </row>
    <row r="212" spans="2:92" ht="39.75" customHeight="1" thickBot="1" x14ac:dyDescent="0.25">
      <c r="B212" s="1228"/>
      <c r="C212" s="1232"/>
      <c r="D212" s="1235"/>
      <c r="E212" s="1213"/>
      <c r="F212" s="1203"/>
      <c r="G212" s="335" t="str">
        <f>+'Plan de Accion Proyectos estrat'!K38</f>
        <v>Convenios o contratos interadministrativos</v>
      </c>
      <c r="H212" s="236" t="str">
        <f>+'Plan de Accion Proyectos estrat'!X38</f>
        <v># Convenios o contratos interadministrativos suscritos</v>
      </c>
      <c r="J212" s="234">
        <f>+'Plan de Accion Proyectos estrat'!AG38</f>
        <v>0</v>
      </c>
      <c r="K212" s="503" t="str">
        <f>+'Plan de Accion Proyectos estrat'!BR38</f>
        <v>No Prog ni Ejec</v>
      </c>
      <c r="L212" s="503" t="s">
        <v>204</v>
      </c>
      <c r="M212" s="503">
        <f>+'Plan de Accion Proyectos estrat'!AK38</f>
        <v>0</v>
      </c>
      <c r="N212" s="503">
        <f t="shared" si="89"/>
        <v>0</v>
      </c>
      <c r="O212" s="505" t="s">
        <v>204</v>
      </c>
      <c r="P212" s="229"/>
      <c r="Q212" s="234">
        <f>+'Plan de Accion Proyectos estrat'!AQ38</f>
        <v>0</v>
      </c>
      <c r="R212" s="324" t="str">
        <f>+'Plan de Accion Proyectos estrat'!BT38</f>
        <v>No Prog ni Ejec</v>
      </c>
      <c r="S212" s="228" t="s">
        <v>204</v>
      </c>
      <c r="T212" s="324">
        <f>+'Plan de Accion Proyectos estrat'!AU38</f>
        <v>0</v>
      </c>
      <c r="U212" s="324">
        <f t="shared" si="176"/>
        <v>0</v>
      </c>
      <c r="V212" s="227" t="s">
        <v>204</v>
      </c>
      <c r="W212" s="229"/>
      <c r="X212" s="234">
        <f>+'Plan de Accion Proyectos estrat'!BA38</f>
        <v>0</v>
      </c>
      <c r="Y212" s="324" t="str">
        <f>+'Plan de Accion Proyectos estrat'!BV38</f>
        <v>No Prog ni Ejec</v>
      </c>
      <c r="Z212" s="228" t="s">
        <v>204</v>
      </c>
      <c r="AA212" s="233">
        <f>+'Plan de Accion Proyectos estrat'!BE38</f>
        <v>0</v>
      </c>
      <c r="AB212" s="233">
        <f t="shared" si="177"/>
        <v>0</v>
      </c>
      <c r="AC212" s="232" t="s">
        <v>204</v>
      </c>
      <c r="AD212" s="229"/>
      <c r="AE212" s="235">
        <f>+'Plan de Accion Proyectos estrat'!BK38</f>
        <v>0</v>
      </c>
      <c r="AF212" s="324">
        <f>+'Plan de Accion Proyectos estrat'!BX38</f>
        <v>0</v>
      </c>
      <c r="AG212" s="228">
        <f t="shared" si="178"/>
        <v>0</v>
      </c>
      <c r="AH212" s="324">
        <f>+'Plan de Accion Proyectos estrat'!BO38</f>
        <v>0</v>
      </c>
      <c r="AI212" s="227">
        <f t="shared" si="179"/>
        <v>0</v>
      </c>
      <c r="AJ212" s="1257"/>
      <c r="AL212" s="1277"/>
      <c r="AM212" s="1259"/>
      <c r="AN212" s="220"/>
      <c r="AO212" s="1270"/>
      <c r="AP212" s="1259"/>
      <c r="AQ212" s="220"/>
      <c r="AR212" s="1259"/>
      <c r="AS212" s="1259"/>
      <c r="AT212" s="220"/>
      <c r="AU212" s="1259"/>
      <c r="AV212" s="1259"/>
      <c r="AW212" s="218"/>
      <c r="AX212" s="1276"/>
      <c r="AZ212" s="1277"/>
      <c r="BA212" s="1259"/>
      <c r="BB212" s="220"/>
      <c r="BC212" s="1270"/>
      <c r="BD212" s="1259"/>
      <c r="BE212" s="220"/>
      <c r="BF212" s="1259"/>
      <c r="BG212" s="1259"/>
      <c r="BH212" s="220"/>
      <c r="BI212" s="1259"/>
      <c r="BJ212" s="1259"/>
      <c r="BK212" s="218"/>
      <c r="BL212" s="1276"/>
      <c r="BN212" s="1277"/>
      <c r="BO212" s="1259"/>
      <c r="BP212" s="220"/>
      <c r="BQ212" s="1270"/>
      <c r="BR212" s="1259"/>
      <c r="BS212" s="220"/>
      <c r="BT212" s="1259"/>
      <c r="BU212" s="1259"/>
      <c r="BV212" s="220"/>
      <c r="BW212" s="1259"/>
      <c r="BX212" s="1259"/>
      <c r="BY212" s="218"/>
      <c r="BZ212" s="1276"/>
      <c r="CB212" s="1277"/>
      <c r="CC212" s="1259"/>
      <c r="CD212" s="220"/>
      <c r="CE212" s="1270"/>
      <c r="CF212" s="1259"/>
      <c r="CG212" s="220"/>
      <c r="CH212" s="1259"/>
      <c r="CI212" s="1259"/>
      <c r="CJ212" s="220"/>
      <c r="CK212" s="1259"/>
      <c r="CL212" s="1259"/>
      <c r="CM212" s="218"/>
      <c r="CN212" s="1276"/>
    </row>
    <row r="213" spans="2:92" ht="99.75" customHeight="1" x14ac:dyDescent="0.2">
      <c r="B213" s="1228"/>
      <c r="C213" s="1237" t="s">
        <v>60</v>
      </c>
      <c r="D213" s="1304" t="s">
        <v>204</v>
      </c>
      <c r="E213" s="1211" t="s">
        <v>125</v>
      </c>
      <c r="F213" s="1202" t="s">
        <v>330</v>
      </c>
      <c r="G213" s="335" t="str">
        <f>+'Plan de Accion Misional'!K11</f>
        <v>Pagos registrados en el SII PRE Procesos de repetición</v>
      </c>
      <c r="H213" s="231" t="str">
        <f>+'Plan de Accion Misional'!X11</f>
        <v># Pagos registrados en SII PRE / # pagos conciliados</v>
      </c>
      <c r="J213" s="230">
        <f>+'Plan de Accion Misional'!AG11</f>
        <v>0</v>
      </c>
      <c r="K213" s="503" t="str">
        <f>+'Plan de Accion Misional'!BR11</f>
        <v>No Prog ni Ejec</v>
      </c>
      <c r="L213" s="503" t="s">
        <v>204</v>
      </c>
      <c r="M213" s="503">
        <f>+'Plan de Accion Misional'!AK11</f>
        <v>0</v>
      </c>
      <c r="N213" s="503">
        <f t="shared" si="89"/>
        <v>0</v>
      </c>
      <c r="O213" s="505" t="s">
        <v>204</v>
      </c>
      <c r="P213" s="229" t="s">
        <v>1185</v>
      </c>
      <c r="Q213" s="230">
        <f>+'Plan de Accion Misional'!AQ11</f>
        <v>0</v>
      </c>
      <c r="R213" s="266" t="str">
        <f>+'Plan de Accion Misional'!BT11</f>
        <v>No Prog ni Ejec</v>
      </c>
      <c r="S213" s="228" t="s">
        <v>204</v>
      </c>
      <c r="T213" s="324">
        <f>+'Plan de Accion Misional'!AU11</f>
        <v>0</v>
      </c>
      <c r="U213" s="324">
        <f t="shared" si="176"/>
        <v>0</v>
      </c>
      <c r="V213" s="227" t="s">
        <v>204</v>
      </c>
      <c r="W213" s="229"/>
      <c r="X213" s="323">
        <f>+'Plan de Accion Misional'!BA11</f>
        <v>0</v>
      </c>
      <c r="Y213" s="266" t="str">
        <f>+'Plan de Accion Misional'!BV11</f>
        <v>No Prog ni Ejec</v>
      </c>
      <c r="Z213" s="228" t="s">
        <v>204</v>
      </c>
      <c r="AA213" s="233">
        <f>+'Plan de Accion Misional'!BE11</f>
        <v>0</v>
      </c>
      <c r="AB213" s="233">
        <f t="shared" si="177"/>
        <v>0</v>
      </c>
      <c r="AC213" s="232" t="s">
        <v>204</v>
      </c>
      <c r="AD213" s="229"/>
      <c r="AE213" s="230">
        <f>+'Plan de Accion Misional'!BK11</f>
        <v>0</v>
      </c>
      <c r="AF213" s="266">
        <f>+'Plan de Accion Misional'!BX11</f>
        <v>0</v>
      </c>
      <c r="AG213" s="228">
        <f t="shared" si="178"/>
        <v>0</v>
      </c>
      <c r="AH213" s="266">
        <f>+'Plan de Accion Misional'!BO11</f>
        <v>0</v>
      </c>
      <c r="AI213" s="227">
        <f t="shared" si="179"/>
        <v>0</v>
      </c>
      <c r="AJ213" s="1256"/>
      <c r="AL213" s="1258"/>
      <c r="AM213" s="1258"/>
      <c r="AN213" s="220"/>
      <c r="AO213" s="1269"/>
      <c r="AP213" s="1258"/>
      <c r="AQ213" s="220"/>
      <c r="AR213" s="1258"/>
      <c r="AS213" s="1258"/>
      <c r="AT213" s="220"/>
      <c r="AU213" s="1258"/>
      <c r="AV213" s="1258"/>
      <c r="AW213" s="218"/>
      <c r="AX213" s="1275"/>
      <c r="AZ213" s="1258"/>
      <c r="BA213" s="1258"/>
      <c r="BB213" s="220"/>
      <c r="BC213" s="1269"/>
      <c r="BD213" s="1258"/>
      <c r="BE213" s="220"/>
      <c r="BF213" s="1258"/>
      <c r="BG213" s="1258"/>
      <c r="BH213" s="220"/>
      <c r="BI213" s="1258"/>
      <c r="BJ213" s="1258"/>
      <c r="BK213" s="218"/>
      <c r="BL213" s="1275"/>
      <c r="BN213" s="1258"/>
      <c r="BO213" s="1258"/>
      <c r="BP213" s="220"/>
      <c r="BQ213" s="1269"/>
      <c r="BR213" s="1258"/>
      <c r="BS213" s="220"/>
      <c r="BT213" s="1258"/>
      <c r="BU213" s="1258"/>
      <c r="BV213" s="220"/>
      <c r="BW213" s="1258"/>
      <c r="BX213" s="1258"/>
      <c r="BY213" s="218"/>
      <c r="BZ213" s="1275"/>
      <c r="CB213" s="1258"/>
      <c r="CC213" s="1258"/>
      <c r="CD213" s="220"/>
      <c r="CE213" s="1269"/>
      <c r="CF213" s="1258"/>
      <c r="CG213" s="220"/>
      <c r="CH213" s="1258"/>
      <c r="CI213" s="1258"/>
      <c r="CJ213" s="220"/>
      <c r="CK213" s="1258"/>
      <c r="CL213" s="1258"/>
      <c r="CM213" s="218"/>
      <c r="CN213" s="1275"/>
    </row>
    <row r="214" spans="2:92" ht="72.75" customHeight="1" x14ac:dyDescent="0.2">
      <c r="B214" s="1228"/>
      <c r="C214" s="1237"/>
      <c r="D214" s="1304"/>
      <c r="E214" s="1212"/>
      <c r="F214" s="1210"/>
      <c r="G214" s="335" t="str">
        <f>+'Plan de Accion Misional'!K12</f>
        <v>Reclamaciones depurables</v>
      </c>
      <c r="H214" s="231" t="str">
        <f>+'Plan de Accion Misional'!X12</f>
        <v># Reclamaciones depurables</v>
      </c>
      <c r="J214" s="230">
        <f>+'Plan de Accion Misional'!AG12</f>
        <v>0</v>
      </c>
      <c r="K214" s="503" t="str">
        <f>+'Plan de Accion Misional'!BR12</f>
        <v>No Prog ni Ejec</v>
      </c>
      <c r="L214" s="503" t="s">
        <v>204</v>
      </c>
      <c r="M214" s="503">
        <f>+'Plan de Accion Misional'!AK12</f>
        <v>0</v>
      </c>
      <c r="N214" s="503">
        <f t="shared" si="89"/>
        <v>0</v>
      </c>
      <c r="O214" s="505" t="s">
        <v>204</v>
      </c>
      <c r="P214" s="229"/>
      <c r="Q214" s="230">
        <f>+'Plan de Accion Misional'!AQ12</f>
        <v>0</v>
      </c>
      <c r="R214" s="266" t="str">
        <f>+'Plan de Accion Misional'!BT12</f>
        <v>No Prog ni Ejec</v>
      </c>
      <c r="S214" s="228" t="s">
        <v>204</v>
      </c>
      <c r="T214" s="324">
        <f>+'Plan de Accion Misional'!AU12</f>
        <v>0</v>
      </c>
      <c r="U214" s="324">
        <f t="shared" si="176"/>
        <v>0</v>
      </c>
      <c r="V214" s="227" t="s">
        <v>204</v>
      </c>
      <c r="W214" s="229"/>
      <c r="X214" s="230">
        <f>+'Plan de Accion Misional'!BA12</f>
        <v>0</v>
      </c>
      <c r="Y214" s="266" t="str">
        <f>+'Plan de Accion Misional'!BV12</f>
        <v>No Prog ni Ejec</v>
      </c>
      <c r="Z214" s="228" t="s">
        <v>204</v>
      </c>
      <c r="AA214" s="233">
        <f>+'Plan de Accion Misional'!BE12</f>
        <v>0</v>
      </c>
      <c r="AB214" s="233">
        <f t="shared" si="177"/>
        <v>0</v>
      </c>
      <c r="AC214" s="232" t="s">
        <v>204</v>
      </c>
      <c r="AD214" s="229"/>
      <c r="AE214" s="230">
        <f>+'Plan de Accion Misional'!BK12</f>
        <v>0</v>
      </c>
      <c r="AF214" s="266">
        <f>+'Plan de Accion Misional'!BX12</f>
        <v>0</v>
      </c>
      <c r="AG214" s="228">
        <f t="shared" si="178"/>
        <v>0</v>
      </c>
      <c r="AH214" s="266">
        <f>+'Plan de Accion Misional'!BO12</f>
        <v>0</v>
      </c>
      <c r="AI214" s="227">
        <f t="shared" si="179"/>
        <v>0</v>
      </c>
      <c r="AJ214" s="1256"/>
      <c r="AL214" s="1258"/>
      <c r="AM214" s="1258"/>
      <c r="AN214" s="220"/>
      <c r="AO214" s="1269"/>
      <c r="AP214" s="1258"/>
      <c r="AQ214" s="220"/>
      <c r="AR214" s="1258"/>
      <c r="AS214" s="1258"/>
      <c r="AT214" s="220"/>
      <c r="AU214" s="1258"/>
      <c r="AV214" s="1258"/>
      <c r="AW214" s="218"/>
      <c r="AX214" s="1275"/>
      <c r="AZ214" s="1258"/>
      <c r="BA214" s="1258"/>
      <c r="BB214" s="220"/>
      <c r="BC214" s="1269"/>
      <c r="BD214" s="1258"/>
      <c r="BE214" s="220"/>
      <c r="BF214" s="1258"/>
      <c r="BG214" s="1258"/>
      <c r="BH214" s="220"/>
      <c r="BI214" s="1258"/>
      <c r="BJ214" s="1258"/>
      <c r="BK214" s="218"/>
      <c r="BL214" s="1275"/>
      <c r="BN214" s="1258"/>
      <c r="BO214" s="1258"/>
      <c r="BP214" s="220"/>
      <c r="BQ214" s="1269"/>
      <c r="BR214" s="1258"/>
      <c r="BS214" s="220"/>
      <c r="BT214" s="1258"/>
      <c r="BU214" s="1258"/>
      <c r="BV214" s="220"/>
      <c r="BW214" s="1258"/>
      <c r="BX214" s="1258"/>
      <c r="BY214" s="218"/>
      <c r="BZ214" s="1275"/>
      <c r="CB214" s="1258"/>
      <c r="CC214" s="1258"/>
      <c r="CD214" s="220"/>
      <c r="CE214" s="1269"/>
      <c r="CF214" s="1258"/>
      <c r="CG214" s="220"/>
      <c r="CH214" s="1258"/>
      <c r="CI214" s="1258"/>
      <c r="CJ214" s="220"/>
      <c r="CK214" s="1258"/>
      <c r="CL214" s="1258"/>
      <c r="CM214" s="218"/>
      <c r="CN214" s="1275"/>
    </row>
    <row r="215" spans="2:92" ht="86.25" thickBot="1" x14ac:dyDescent="0.25">
      <c r="B215" s="1228"/>
      <c r="C215" s="1237"/>
      <c r="D215" s="1304"/>
      <c r="E215" s="1213"/>
      <c r="F215" s="1203"/>
      <c r="G215" s="335" t="str">
        <f>+'Plan de Accion Misional'!K13</f>
        <v>Bases de información actualizadas</v>
      </c>
      <c r="H215" s="231" t="str">
        <f>+'Plan de Accion Misional'!X13</f>
        <v># Actos administrativos y actuaciones actualizados en las bases de información / # expedientes entregados en reparto susceptibles de actualización</v>
      </c>
      <c r="J215" s="230">
        <f>+'Plan de Accion Misional'!AG13</f>
        <v>0.11191547642340051</v>
      </c>
      <c r="K215" s="503">
        <f>+'Plan de Accion Misional'!BR13</f>
        <v>0.44766190569360204</v>
      </c>
      <c r="L215" s="503">
        <f t="shared" ref="L215:L222" si="180">IF(K215&gt;100%,100%,K215)</f>
        <v>0.44766190569360204</v>
      </c>
      <c r="M215" s="503">
        <f>+'Plan de Accion Misional'!AK13</f>
        <v>0.11191547642340051</v>
      </c>
      <c r="N215" s="503">
        <f t="shared" si="89"/>
        <v>0.11191547642340051</v>
      </c>
      <c r="O215" s="505">
        <f t="shared" ref="O215:O222" si="181">+N215</f>
        <v>0.11191547642340051</v>
      </c>
      <c r="P215" s="229"/>
      <c r="Q215" s="230">
        <f>+'Plan de Accion Misional'!AQ13</f>
        <v>0.25</v>
      </c>
      <c r="R215" s="266">
        <f>+'Plan de Accion Misional'!BT13</f>
        <v>1</v>
      </c>
      <c r="S215" s="228">
        <f>IF(R215&gt;100%,100%,R215)</f>
        <v>1</v>
      </c>
      <c r="T215" s="324">
        <f>+'Plan de Accion Misional'!AU13</f>
        <v>0.3619154764234005</v>
      </c>
      <c r="U215" s="324">
        <f t="shared" si="176"/>
        <v>0.3619154764234005</v>
      </c>
      <c r="V215" s="227">
        <f>+U215</f>
        <v>0.3619154764234005</v>
      </c>
      <c r="W215" s="229"/>
      <c r="X215" s="230">
        <f>+'Plan de Accion Misional'!BA13</f>
        <v>0</v>
      </c>
      <c r="Y215" s="266">
        <f>+'Plan de Accion Misional'!BV13</f>
        <v>0</v>
      </c>
      <c r="Z215" s="228">
        <f>IF(Y215&gt;100%,100%,Y215)</f>
        <v>0</v>
      </c>
      <c r="AA215" s="233">
        <f>+'Plan de Accion Misional'!BE13</f>
        <v>0.3619154764234005</v>
      </c>
      <c r="AB215" s="233">
        <f t="shared" si="177"/>
        <v>0.3619154764234005</v>
      </c>
      <c r="AC215" s="232">
        <f>+AB215</f>
        <v>0.3619154764234005</v>
      </c>
      <c r="AD215" s="229"/>
      <c r="AE215" s="323">
        <f>+'Plan de Accion Misional'!BK13</f>
        <v>0</v>
      </c>
      <c r="AF215" s="266">
        <f>+'Plan de Accion Misional'!BX13</f>
        <v>0</v>
      </c>
      <c r="AG215" s="228">
        <f t="shared" si="178"/>
        <v>0</v>
      </c>
      <c r="AH215" s="266">
        <f>+'Plan de Accion Misional'!BO13</f>
        <v>0.3619154764234005</v>
      </c>
      <c r="AI215" s="227">
        <f t="shared" si="179"/>
        <v>0.3619154764234005</v>
      </c>
      <c r="AJ215" s="1257"/>
      <c r="AL215" s="1259"/>
      <c r="AM215" s="1259"/>
      <c r="AN215" s="220"/>
      <c r="AO215" s="1270"/>
      <c r="AP215" s="1259"/>
      <c r="AQ215" s="220"/>
      <c r="AR215" s="1259"/>
      <c r="AS215" s="1259"/>
      <c r="AT215" s="220"/>
      <c r="AU215" s="1259"/>
      <c r="AV215" s="1259"/>
      <c r="AW215" s="218"/>
      <c r="AX215" s="1276"/>
      <c r="AZ215" s="1259"/>
      <c r="BA215" s="1259"/>
      <c r="BB215" s="220"/>
      <c r="BC215" s="1270"/>
      <c r="BD215" s="1259"/>
      <c r="BE215" s="220"/>
      <c r="BF215" s="1259"/>
      <c r="BG215" s="1259"/>
      <c r="BH215" s="220"/>
      <c r="BI215" s="1259"/>
      <c r="BJ215" s="1259"/>
      <c r="BK215" s="218"/>
      <c r="BL215" s="1276"/>
      <c r="BN215" s="1259"/>
      <c r="BO215" s="1259"/>
      <c r="BP215" s="220"/>
      <c r="BQ215" s="1270"/>
      <c r="BR215" s="1259"/>
      <c r="BS215" s="220"/>
      <c r="BT215" s="1259"/>
      <c r="BU215" s="1259"/>
      <c r="BV215" s="220"/>
      <c r="BW215" s="1259"/>
      <c r="BX215" s="1259"/>
      <c r="BY215" s="218"/>
      <c r="BZ215" s="1276"/>
      <c r="CB215" s="1259"/>
      <c r="CC215" s="1259"/>
      <c r="CD215" s="220"/>
      <c r="CE215" s="1270"/>
      <c r="CF215" s="1259"/>
      <c r="CG215" s="220"/>
      <c r="CH215" s="1259"/>
      <c r="CI215" s="1259"/>
      <c r="CJ215" s="220"/>
      <c r="CK215" s="1259"/>
      <c r="CL215" s="1259"/>
      <c r="CM215" s="218"/>
      <c r="CN215" s="1276"/>
    </row>
    <row r="216" spans="2:92" ht="57" customHeight="1" x14ac:dyDescent="0.2">
      <c r="B216" s="1228"/>
      <c r="C216" s="1230" t="s">
        <v>59</v>
      </c>
      <c r="D216" s="1214" t="s">
        <v>204</v>
      </c>
      <c r="E216" s="1211" t="s">
        <v>1186</v>
      </c>
      <c r="F216" s="1202" t="s">
        <v>330</v>
      </c>
      <c r="G216" s="342" t="str">
        <f>+'Plan de Accion Misional'!K17</f>
        <v>Gestión de Recaudo</v>
      </c>
      <c r="H216" s="231" t="str">
        <f>+'Plan de Accion Misional'!X17</f>
        <v># Recaudos Identificados / # Total de Recaudo Recibido en el Trimestre</v>
      </c>
      <c r="J216" s="230">
        <f>+'Plan de Accion Misional'!AG17</f>
        <v>0.24984377122673551</v>
      </c>
      <c r="K216" s="503">
        <f>+'Plan de Accion Misional'!BR17</f>
        <v>0.99937508490694205</v>
      </c>
      <c r="L216" s="503">
        <f t="shared" si="180"/>
        <v>0.99937508490694205</v>
      </c>
      <c r="M216" s="503">
        <f>+'Plan de Accion Misional'!AK17</f>
        <v>0.24984377122673551</v>
      </c>
      <c r="N216" s="503">
        <f t="shared" ref="N216:N222" si="182">IF(M216&gt;100%,100%,M216)</f>
        <v>0.24984377122673551</v>
      </c>
      <c r="O216" s="505">
        <f t="shared" si="181"/>
        <v>0.24984377122673551</v>
      </c>
      <c r="P216" s="229"/>
      <c r="Q216" s="230">
        <f>+'Plan de Accion Misional'!AQ17</f>
        <v>0.24994903419805312</v>
      </c>
      <c r="R216" s="266">
        <f>+'Plan de Accion Misional'!BT17</f>
        <v>0.99979613679221246</v>
      </c>
      <c r="S216" s="228">
        <f>IF(R216&gt;100%,100%,R216)</f>
        <v>0.99979613679221246</v>
      </c>
      <c r="T216" s="345">
        <f>+'Plan de Accion Misional'!AU17</f>
        <v>0.49979280542478866</v>
      </c>
      <c r="U216" s="345">
        <f t="shared" si="176"/>
        <v>0.49979280542478866</v>
      </c>
      <c r="V216" s="227">
        <f>+U216</f>
        <v>0.49979280542478866</v>
      </c>
      <c r="W216" s="229"/>
      <c r="X216" s="230">
        <f>+'Plan de Accion Misional'!BA17</f>
        <v>0</v>
      </c>
      <c r="Y216" s="266">
        <f>+'Plan de Accion Misional'!BV17</f>
        <v>0</v>
      </c>
      <c r="Z216" s="228">
        <f>IF(Y216&gt;100%,100%,Y216)</f>
        <v>0</v>
      </c>
      <c r="AA216" s="233">
        <f>+'Plan de Accion Misional'!BE17</f>
        <v>0.49979280542478866</v>
      </c>
      <c r="AB216" s="233">
        <f t="shared" si="177"/>
        <v>0.49979280542478866</v>
      </c>
      <c r="AC216" s="232">
        <f>+AB216</f>
        <v>0.49979280542478866</v>
      </c>
      <c r="AD216" s="229"/>
      <c r="AE216" s="350">
        <f>+'Plan de Accion Misional'!BK17</f>
        <v>0</v>
      </c>
      <c r="AF216" s="266">
        <f>+'Plan de Accion Misional'!BX17</f>
        <v>0</v>
      </c>
      <c r="AG216" s="228">
        <f t="shared" si="178"/>
        <v>0</v>
      </c>
      <c r="AH216" s="266">
        <f>+'Plan de Accion Misional'!BO17</f>
        <v>0.49979280542478866</v>
      </c>
      <c r="AI216" s="227">
        <f t="shared" si="179"/>
        <v>0.49979280542478866</v>
      </c>
      <c r="AJ216" s="348"/>
      <c r="AL216" s="346"/>
      <c r="AM216" s="346"/>
      <c r="AN216" s="220"/>
      <c r="AO216" s="349"/>
      <c r="AP216" s="346"/>
      <c r="AQ216" s="220"/>
      <c r="AR216" s="346"/>
      <c r="AS216" s="346"/>
      <c r="AT216" s="220"/>
      <c r="AU216" s="346"/>
      <c r="AV216" s="346"/>
      <c r="AW216" s="218"/>
      <c r="AX216" s="347"/>
      <c r="AZ216" s="346"/>
      <c r="BA216" s="346"/>
      <c r="BB216" s="220"/>
      <c r="BC216" s="349"/>
      <c r="BD216" s="346"/>
      <c r="BE216" s="220"/>
      <c r="BF216" s="346"/>
      <c r="BG216" s="346"/>
      <c r="BH216" s="220"/>
      <c r="BI216" s="346"/>
      <c r="BJ216" s="346"/>
      <c r="BK216" s="218"/>
      <c r="BL216" s="347"/>
      <c r="BN216" s="346"/>
      <c r="BO216" s="346"/>
      <c r="BP216" s="220"/>
      <c r="BQ216" s="349"/>
      <c r="BR216" s="346"/>
      <c r="BS216" s="220"/>
      <c r="BT216" s="346"/>
      <c r="BU216" s="346"/>
      <c r="BV216" s="220"/>
      <c r="BW216" s="346"/>
      <c r="BX216" s="346"/>
      <c r="BY216" s="218"/>
      <c r="BZ216" s="347"/>
      <c r="CB216" s="346"/>
      <c r="CC216" s="346"/>
      <c r="CD216" s="220"/>
      <c r="CE216" s="349"/>
      <c r="CF216" s="346"/>
      <c r="CG216" s="220"/>
      <c r="CH216" s="346"/>
      <c r="CI216" s="346"/>
      <c r="CJ216" s="220"/>
      <c r="CK216" s="346"/>
      <c r="CL216" s="346"/>
      <c r="CM216" s="218"/>
      <c r="CN216" s="347"/>
    </row>
    <row r="217" spans="2:92" ht="42.75" x14ac:dyDescent="0.2">
      <c r="B217" s="1228"/>
      <c r="C217" s="1232"/>
      <c r="D217" s="1216"/>
      <c r="E217" s="1213"/>
      <c r="F217" s="1203"/>
      <c r="G217" s="342" t="str">
        <f>+'Plan de Accion Misional'!K19</f>
        <v>Informes de Portafolio</v>
      </c>
      <c r="H217" s="231" t="str">
        <f>+'Plan de Accion Misional'!X19</f>
        <v># Boletines Realizados / # Boletines Proyectados del Periodo</v>
      </c>
      <c r="J217" s="230">
        <f>+'Plan de Accion Misional'!AG19</f>
        <v>0.25</v>
      </c>
      <c r="K217" s="503">
        <f>+'Plan de Accion Misional'!BR19</f>
        <v>1</v>
      </c>
      <c r="L217" s="503">
        <f t="shared" si="180"/>
        <v>1</v>
      </c>
      <c r="M217" s="503">
        <f>+'Plan de Accion Misional'!AK19</f>
        <v>0.25</v>
      </c>
      <c r="N217" s="503">
        <f t="shared" si="182"/>
        <v>0.25</v>
      </c>
      <c r="O217" s="505">
        <f t="shared" si="181"/>
        <v>0.25</v>
      </c>
      <c r="P217" s="229"/>
      <c r="Q217" s="230">
        <f>+'Plan de Accion Misional'!AQ19</f>
        <v>0.25</v>
      </c>
      <c r="R217" s="266">
        <f>+'Plan de Accion Misional'!BT19</f>
        <v>1</v>
      </c>
      <c r="S217" s="228">
        <f>IF(R217&gt;100%,100%,R217)</f>
        <v>1</v>
      </c>
      <c r="T217" s="345">
        <f>+'Plan de Accion Misional'!AU19</f>
        <v>0.5</v>
      </c>
      <c r="U217" s="345">
        <f t="shared" si="176"/>
        <v>0.5</v>
      </c>
      <c r="V217" s="227">
        <f>+U217</f>
        <v>0.5</v>
      </c>
      <c r="W217" s="229"/>
      <c r="X217" s="230">
        <f>+'Plan de Accion Misional'!BA19</f>
        <v>0</v>
      </c>
      <c r="Y217" s="266">
        <f>+'Plan de Accion Misional'!BV19</f>
        <v>0</v>
      </c>
      <c r="Z217" s="228">
        <f>IF(Y217&gt;100%,100%,Y217)</f>
        <v>0</v>
      </c>
      <c r="AA217" s="233">
        <f>+'Plan de Accion Misional'!BE19</f>
        <v>0.5</v>
      </c>
      <c r="AB217" s="233">
        <f t="shared" si="177"/>
        <v>0.5</v>
      </c>
      <c r="AC217" s="232">
        <f>+AB217</f>
        <v>0.5</v>
      </c>
      <c r="AD217" s="229"/>
      <c r="AE217" s="350">
        <f>+'Plan de Accion Misional'!BK19</f>
        <v>0</v>
      </c>
      <c r="AF217" s="266">
        <f>+'Plan de Accion Misional'!BX19</f>
        <v>0</v>
      </c>
      <c r="AG217" s="228">
        <f t="shared" si="178"/>
        <v>0</v>
      </c>
      <c r="AH217" s="266">
        <f>+'Plan de Accion Misional'!BO19</f>
        <v>0.5</v>
      </c>
      <c r="AI217" s="227">
        <f t="shared" si="179"/>
        <v>0.5</v>
      </c>
      <c r="AJ217" s="348"/>
      <c r="AL217" s="346"/>
      <c r="AM217" s="346"/>
      <c r="AN217" s="220"/>
      <c r="AO217" s="349"/>
      <c r="AP217" s="346"/>
      <c r="AQ217" s="220"/>
      <c r="AR217" s="346"/>
      <c r="AS217" s="346"/>
      <c r="AT217" s="220"/>
      <c r="AU217" s="346"/>
      <c r="AV217" s="346"/>
      <c r="AW217" s="218"/>
      <c r="AX217" s="347"/>
      <c r="AZ217" s="346"/>
      <c r="BA217" s="346"/>
      <c r="BB217" s="220"/>
      <c r="BC217" s="349"/>
      <c r="BD217" s="346"/>
      <c r="BE217" s="220"/>
      <c r="BF217" s="346"/>
      <c r="BG217" s="346"/>
      <c r="BH217" s="220"/>
      <c r="BI217" s="346"/>
      <c r="BJ217" s="346"/>
      <c r="BK217" s="218"/>
      <c r="BL217" s="347"/>
      <c r="BN217" s="346"/>
      <c r="BO217" s="346"/>
      <c r="BP217" s="220"/>
      <c r="BQ217" s="349"/>
      <c r="BR217" s="346"/>
      <c r="BS217" s="220"/>
      <c r="BT217" s="346"/>
      <c r="BU217" s="346"/>
      <c r="BV217" s="220"/>
      <c r="BW217" s="346"/>
      <c r="BX217" s="346"/>
      <c r="BY217" s="218"/>
      <c r="BZ217" s="347"/>
      <c r="CB217" s="346"/>
      <c r="CC217" s="346"/>
      <c r="CD217" s="220"/>
      <c r="CE217" s="349"/>
      <c r="CF217" s="346"/>
      <c r="CG217" s="220"/>
      <c r="CH217" s="346"/>
      <c r="CI217" s="346"/>
      <c r="CJ217" s="220"/>
      <c r="CK217" s="346"/>
      <c r="CL217" s="346"/>
      <c r="CM217" s="218"/>
      <c r="CN217" s="347"/>
    </row>
    <row r="218" spans="2:92" ht="99.75" customHeight="1" x14ac:dyDescent="0.2">
      <c r="B218" s="1228"/>
      <c r="C218" s="1230" t="s">
        <v>60</v>
      </c>
      <c r="D218" s="1214" t="s">
        <v>204</v>
      </c>
      <c r="E218" s="1211" t="s">
        <v>125</v>
      </c>
      <c r="F218" s="1202" t="s">
        <v>330</v>
      </c>
      <c r="G218" s="342" t="str">
        <f>+'Plan de Accion apoyo transversa'!X23</f>
        <v>Conceptos jurídicos</v>
      </c>
      <c r="H218" s="231" t="str">
        <f>+'Plan de Accion apoyo transversa'!AK23</f>
        <v># Conceptos jurídicos presentados en término legal / # Conceptos jurídicos requeridos con corte al mes anterior</v>
      </c>
      <c r="J218" s="234">
        <f>+'Plan de Accion apoyo transversa'!AT23</f>
        <v>0.19230769230769232</v>
      </c>
      <c r="K218" s="503">
        <f>+'Plan de Accion apoyo transversa'!CE23</f>
        <v>0.76923076923076927</v>
      </c>
      <c r="L218" s="503">
        <f t="shared" si="180"/>
        <v>0.76923076923076927</v>
      </c>
      <c r="M218" s="503">
        <f>+'Plan de Accion apoyo transversa'!AX23</f>
        <v>0.19230769230769232</v>
      </c>
      <c r="N218" s="503">
        <f t="shared" si="182"/>
        <v>0.19230769230769232</v>
      </c>
      <c r="O218" s="505">
        <f t="shared" si="181"/>
        <v>0.19230769230769232</v>
      </c>
      <c r="P218" s="229"/>
      <c r="Q218" s="234">
        <f>+'Plan de Accion apoyo transversa'!BD23</f>
        <v>0.21428571428571427</v>
      </c>
      <c r="R218" s="266">
        <f>+'Plan de Accion apoyo transversa'!CG23</f>
        <v>0.8571428571428571</v>
      </c>
      <c r="S218" s="228">
        <f>IF(R218&gt;100%,100%,R218)</f>
        <v>0.8571428571428571</v>
      </c>
      <c r="T218" s="345">
        <f>+'Plan de Accion apoyo transversa'!BH23</f>
        <v>0.40659340659340659</v>
      </c>
      <c r="U218" s="345">
        <f t="shared" si="176"/>
        <v>0.40659340659340659</v>
      </c>
      <c r="V218" s="227">
        <f>+U218</f>
        <v>0.40659340659340659</v>
      </c>
      <c r="W218" s="229"/>
      <c r="X218" s="234">
        <f>+'Plan de Accion apoyo transversa'!BN23</f>
        <v>0</v>
      </c>
      <c r="Y218" s="266">
        <f>+'Plan de Accion apoyo transversa'!CI23</f>
        <v>0</v>
      </c>
      <c r="Z218" s="228">
        <f>IF(Y218&gt;100%,100%,Y218)</f>
        <v>0</v>
      </c>
      <c r="AA218" s="233">
        <f>+'Plan de Accion apoyo transversa'!BR23</f>
        <v>0.40659340659340659</v>
      </c>
      <c r="AB218" s="233">
        <f t="shared" si="177"/>
        <v>0.40659340659340659</v>
      </c>
      <c r="AC218" s="232">
        <f>+AB218</f>
        <v>0.40659340659340659</v>
      </c>
      <c r="AD218" s="229"/>
      <c r="AE218" s="234">
        <f>+'Plan de Accion apoyo transversa'!BX23</f>
        <v>0</v>
      </c>
      <c r="AF218" s="266">
        <f>+'Plan de Accion apoyo transversa'!CK23</f>
        <v>0</v>
      </c>
      <c r="AG218" s="228">
        <f t="shared" si="178"/>
        <v>0</v>
      </c>
      <c r="AH218" s="266">
        <f>+'Plan de Accion apoyo transversa'!CB23</f>
        <v>0.40659340659340659</v>
      </c>
      <c r="AI218" s="227">
        <f t="shared" si="179"/>
        <v>0.40659340659340659</v>
      </c>
      <c r="AJ218" s="348"/>
      <c r="AL218" s="346"/>
      <c r="AM218" s="346"/>
      <c r="AN218" s="220"/>
      <c r="AO218" s="349"/>
      <c r="AP218" s="346"/>
      <c r="AQ218" s="220"/>
      <c r="AR218" s="346"/>
      <c r="AS218" s="346"/>
      <c r="AT218" s="220"/>
      <c r="AU218" s="346"/>
      <c r="AV218" s="346"/>
      <c r="AW218" s="218"/>
      <c r="AX218" s="347"/>
      <c r="AZ218" s="346"/>
      <c r="BA218" s="346"/>
      <c r="BB218" s="220"/>
      <c r="BC218" s="349"/>
      <c r="BD218" s="346"/>
      <c r="BE218" s="220"/>
      <c r="BF218" s="346"/>
      <c r="BG218" s="346"/>
      <c r="BH218" s="220"/>
      <c r="BI218" s="346"/>
      <c r="BJ218" s="346"/>
      <c r="BK218" s="218"/>
      <c r="BL218" s="347"/>
      <c r="BN218" s="346"/>
      <c r="BO218" s="346"/>
      <c r="BP218" s="220"/>
      <c r="BQ218" s="349"/>
      <c r="BR218" s="346"/>
      <c r="BS218" s="220"/>
      <c r="BT218" s="346"/>
      <c r="BU218" s="346"/>
      <c r="BV218" s="220"/>
      <c r="BW218" s="346"/>
      <c r="BX218" s="346"/>
      <c r="BY218" s="218"/>
      <c r="BZ218" s="347"/>
      <c r="CB218" s="346"/>
      <c r="CC218" s="346"/>
      <c r="CD218" s="220"/>
      <c r="CE218" s="349"/>
      <c r="CF218" s="346"/>
      <c r="CG218" s="220"/>
      <c r="CH218" s="346"/>
      <c r="CI218" s="346"/>
      <c r="CJ218" s="220"/>
      <c r="CK218" s="346"/>
      <c r="CL218" s="346"/>
      <c r="CM218" s="218"/>
      <c r="CN218" s="347"/>
    </row>
    <row r="219" spans="2:92" ht="45" customHeight="1" x14ac:dyDescent="0.2">
      <c r="B219" s="1228"/>
      <c r="C219" s="1231"/>
      <c r="D219" s="1215"/>
      <c r="E219" s="1212"/>
      <c r="F219" s="1210"/>
      <c r="G219" s="342" t="str">
        <f>+'Plan de Accion apoyo transversa'!X24</f>
        <v>Recursos de casación y representación judicial</v>
      </c>
      <c r="H219" s="231" t="str">
        <f>+'Plan de Accion apoyo transversa'!AK24</f>
        <v>Producto entregado en el trimestre/producto requerido en el trimestre</v>
      </c>
      <c r="J219" s="234">
        <f>+'Plan de Accion apoyo transversa'!AT24</f>
        <v>0</v>
      </c>
      <c r="K219" s="503">
        <f>+'Plan de Accion apoyo transversa'!CE24</f>
        <v>0</v>
      </c>
      <c r="L219" s="503">
        <f t="shared" si="180"/>
        <v>0</v>
      </c>
      <c r="M219" s="503">
        <f>+'Plan de Accion apoyo transversa'!AX24</f>
        <v>0</v>
      </c>
      <c r="N219" s="503">
        <f t="shared" si="182"/>
        <v>0</v>
      </c>
      <c r="O219" s="505">
        <f t="shared" si="181"/>
        <v>0</v>
      </c>
      <c r="P219" s="229"/>
      <c r="Q219" s="234" t="str">
        <f>+'Plan de Accion apoyo transversa'!BD24</f>
        <v>N.A</v>
      </c>
      <c r="R219" s="266" t="e">
        <f>+'Plan de Accion apoyo transversa'!CG24</f>
        <v>#VALUE!</v>
      </c>
      <c r="S219" s="228" t="e">
        <f>IF(R219&gt;100%,100%,R219)</f>
        <v>#VALUE!</v>
      </c>
      <c r="T219" s="947">
        <f>+'Plan de Accion apoyo transversa'!BH24</f>
        <v>0</v>
      </c>
      <c r="U219" s="947">
        <f t="shared" ref="U219" si="183">IF(T219&gt;100%,100%,T219)</f>
        <v>0</v>
      </c>
      <c r="V219" s="227">
        <f>+U219</f>
        <v>0</v>
      </c>
      <c r="W219" s="229"/>
      <c r="X219" s="234">
        <f>+'Plan de Accion apoyo transversa'!BN24</f>
        <v>0</v>
      </c>
      <c r="Y219" s="266">
        <f>+'Plan de Accion apoyo transversa'!CI24</f>
        <v>0</v>
      </c>
      <c r="Z219" s="228">
        <f>IF(Y219&gt;100%,100%,Y219)</f>
        <v>0</v>
      </c>
      <c r="AA219" s="233" t="e">
        <f>+'Plan de Accion apoyo transversa'!BR24</f>
        <v>#VALUE!</v>
      </c>
      <c r="AB219" s="233" t="e">
        <f t="shared" si="177"/>
        <v>#VALUE!</v>
      </c>
      <c r="AC219" s="232" t="e">
        <f>+AB219</f>
        <v>#VALUE!</v>
      </c>
      <c r="AD219" s="229"/>
      <c r="AE219" s="234">
        <f>+'Plan de Accion apoyo transversa'!BX24</f>
        <v>0</v>
      </c>
      <c r="AF219" s="266">
        <f>+'Plan de Accion apoyo transversa'!CK24</f>
        <v>0</v>
      </c>
      <c r="AG219" s="228">
        <f t="shared" si="178"/>
        <v>0</v>
      </c>
      <c r="AH219" s="266" t="e">
        <f>+'Plan de Accion apoyo transversa'!CB24</f>
        <v>#VALUE!</v>
      </c>
      <c r="AI219" s="227" t="e">
        <f t="shared" si="179"/>
        <v>#VALUE!</v>
      </c>
      <c r="AJ219" s="348"/>
      <c r="AL219" s="346"/>
      <c r="AM219" s="346"/>
      <c r="AN219" s="220"/>
      <c r="AO219" s="349"/>
      <c r="AP219" s="346"/>
      <c r="AQ219" s="220"/>
      <c r="AR219" s="346"/>
      <c r="AS219" s="346"/>
      <c r="AT219" s="220"/>
      <c r="AU219" s="346"/>
      <c r="AV219" s="346"/>
      <c r="AW219" s="218"/>
      <c r="AX219" s="347"/>
      <c r="AZ219" s="346"/>
      <c r="BA219" s="346"/>
      <c r="BB219" s="220"/>
      <c r="BC219" s="349"/>
      <c r="BD219" s="346"/>
      <c r="BE219" s="220"/>
      <c r="BF219" s="346"/>
      <c r="BG219" s="346"/>
      <c r="BH219" s="220"/>
      <c r="BI219" s="346"/>
      <c r="BJ219" s="346"/>
      <c r="BK219" s="218"/>
      <c r="BL219" s="347"/>
      <c r="BN219" s="346"/>
      <c r="BO219" s="346"/>
      <c r="BP219" s="220"/>
      <c r="BQ219" s="349"/>
      <c r="BR219" s="346"/>
      <c r="BS219" s="220"/>
      <c r="BT219" s="346"/>
      <c r="BU219" s="346"/>
      <c r="BV219" s="220"/>
      <c r="BW219" s="346"/>
      <c r="BX219" s="346"/>
      <c r="BY219" s="218"/>
      <c r="BZ219" s="347"/>
      <c r="CB219" s="346"/>
      <c r="CC219" s="346"/>
      <c r="CD219" s="220"/>
      <c r="CE219" s="349"/>
      <c r="CF219" s="346"/>
      <c r="CG219" s="220"/>
      <c r="CH219" s="346"/>
      <c r="CI219" s="346"/>
      <c r="CJ219" s="220"/>
      <c r="CK219" s="346"/>
      <c r="CL219" s="346"/>
      <c r="CM219" s="218"/>
      <c r="CN219" s="347"/>
    </row>
    <row r="220" spans="2:92" ht="71.25" x14ac:dyDescent="0.2">
      <c r="B220" s="1228"/>
      <c r="C220" s="1231"/>
      <c r="D220" s="1215"/>
      <c r="E220" s="1212"/>
      <c r="F220" s="1210"/>
      <c r="G220" s="342" t="str">
        <f>+'Plan de Accion apoyo transversa'!X25</f>
        <v>Vigilancia judicial</v>
      </c>
      <c r="H220" s="231" t="str">
        <f>+'Plan de Accion apoyo transversa'!AK25</f>
        <v>#procesos vigilados por la firma de vigilancia / # procesos relacionados para vigilancia a la firma contratada</v>
      </c>
      <c r="J220" s="234">
        <f>+'Plan de Accion apoyo transversa'!AT25</f>
        <v>0</v>
      </c>
      <c r="K220" s="503">
        <f>+'Plan de Accion apoyo transversa'!CE25</f>
        <v>0</v>
      </c>
      <c r="L220" s="503">
        <f t="shared" si="180"/>
        <v>0</v>
      </c>
      <c r="M220" s="503">
        <f>+'Plan de Accion apoyo transversa'!AX25</f>
        <v>0</v>
      </c>
      <c r="N220" s="503">
        <f t="shared" si="182"/>
        <v>0</v>
      </c>
      <c r="O220" s="505">
        <f t="shared" si="181"/>
        <v>0</v>
      </c>
      <c r="P220" s="229"/>
      <c r="Q220" s="234">
        <f>+'Plan de Accion apoyo transversa'!BD25</f>
        <v>0.25</v>
      </c>
      <c r="R220" s="266">
        <f>+'Plan de Accion apoyo transversa'!CG25</f>
        <v>1</v>
      </c>
      <c r="S220" s="228">
        <f t="shared" ref="S220:S230" si="184">IF(R220&gt;100%,100%,R220)</f>
        <v>1</v>
      </c>
      <c r="T220" s="345">
        <f>+'Plan de Accion apoyo transversa'!BH25</f>
        <v>0.25</v>
      </c>
      <c r="U220" s="345">
        <f t="shared" ref="U220:U230" si="185">IF(T220&gt;100%,100%,T220)</f>
        <v>0.25</v>
      </c>
      <c r="V220" s="227">
        <f t="shared" ref="V220:V232" si="186">+U220</f>
        <v>0.25</v>
      </c>
      <c r="W220" s="229"/>
      <c r="X220" s="234">
        <f>+'Plan de Accion apoyo transversa'!BN25</f>
        <v>0</v>
      </c>
      <c r="Y220" s="266">
        <f>+'Plan de Accion apoyo transversa'!CI25</f>
        <v>0</v>
      </c>
      <c r="Z220" s="228">
        <f t="shared" ref="Z220:Z230" si="187">IF(Y220&gt;100%,100%,Y220)</f>
        <v>0</v>
      </c>
      <c r="AA220" s="233">
        <f>+'Plan de Accion apoyo transversa'!BR25</f>
        <v>0.25</v>
      </c>
      <c r="AB220" s="233">
        <f t="shared" ref="AB220:AB230" si="188">IF(AA220&gt;100%,100%,AA220)</f>
        <v>0.25</v>
      </c>
      <c r="AC220" s="232">
        <f t="shared" ref="AC220:AC232" si="189">+AB220</f>
        <v>0.25</v>
      </c>
      <c r="AD220" s="229"/>
      <c r="AE220" s="234">
        <f>+'Plan de Accion apoyo transversa'!BX25</f>
        <v>0</v>
      </c>
      <c r="AF220" s="266">
        <f>+'Plan de Accion apoyo transversa'!CK25</f>
        <v>0</v>
      </c>
      <c r="AG220" s="228">
        <f t="shared" ref="AG220:AG230" si="190">IF(AF220&gt;100%,100%,AF220)</f>
        <v>0</v>
      </c>
      <c r="AH220" s="266">
        <f>+'Plan de Accion apoyo transversa'!CB25</f>
        <v>0.25</v>
      </c>
      <c r="AI220" s="227">
        <f t="shared" ref="AI220:AI230" si="191">IF(AH220&gt;100%,100%,AH220)</f>
        <v>0.25</v>
      </c>
      <c r="AJ220" s="348"/>
      <c r="AL220" s="346"/>
      <c r="AM220" s="346"/>
      <c r="AN220" s="220"/>
      <c r="AO220" s="349"/>
      <c r="AP220" s="346"/>
      <c r="AQ220" s="220"/>
      <c r="AR220" s="346"/>
      <c r="AS220" s="346"/>
      <c r="AT220" s="220"/>
      <c r="AU220" s="346"/>
      <c r="AV220" s="346"/>
      <c r="AW220" s="218"/>
      <c r="AX220" s="347"/>
      <c r="AZ220" s="346"/>
      <c r="BA220" s="346"/>
      <c r="BB220" s="220"/>
      <c r="BC220" s="349"/>
      <c r="BD220" s="346"/>
      <c r="BE220" s="220"/>
      <c r="BF220" s="346"/>
      <c r="BG220" s="346"/>
      <c r="BH220" s="220"/>
      <c r="BI220" s="346"/>
      <c r="BJ220" s="346"/>
      <c r="BK220" s="218"/>
      <c r="BL220" s="347"/>
      <c r="BN220" s="346"/>
      <c r="BO220" s="346"/>
      <c r="BP220" s="220"/>
      <c r="BQ220" s="349"/>
      <c r="BR220" s="346"/>
      <c r="BS220" s="220"/>
      <c r="BT220" s="346"/>
      <c r="BU220" s="346"/>
      <c r="BV220" s="220"/>
      <c r="BW220" s="346"/>
      <c r="BX220" s="346"/>
      <c r="BY220" s="218"/>
      <c r="BZ220" s="347"/>
      <c r="CB220" s="346"/>
      <c r="CC220" s="346"/>
      <c r="CD220" s="220"/>
      <c r="CE220" s="349"/>
      <c r="CF220" s="346"/>
      <c r="CG220" s="220"/>
      <c r="CH220" s="346"/>
      <c r="CI220" s="346"/>
      <c r="CJ220" s="220"/>
      <c r="CK220" s="346"/>
      <c r="CL220" s="346"/>
      <c r="CM220" s="218"/>
      <c r="CN220" s="347"/>
    </row>
    <row r="221" spans="2:92" ht="28.5" customHeight="1" x14ac:dyDescent="0.2">
      <c r="B221" s="1228"/>
      <c r="C221" s="1231"/>
      <c r="D221" s="1215"/>
      <c r="E221" s="1212"/>
      <c r="F221" s="1210"/>
      <c r="G221" s="342" t="str">
        <f>+'Plan de Accion apoyo transversa'!X27</f>
        <v>Procesos radicados en Ekogui</v>
      </c>
      <c r="H221" s="231" t="str">
        <f>+'Plan de Accion apoyo transversa'!AK27</f>
        <v xml:space="preserve">#Procesos permitidos por la plataforma durante el Trimestre  / #procesos radicados en Ekogui por los apoderados </v>
      </c>
      <c r="J221" s="234">
        <f>+'Plan de Accion apoyo transversa'!AT27</f>
        <v>0.23670557717250323</v>
      </c>
      <c r="K221" s="503">
        <f>+'Plan de Accion apoyo transversa'!CE27</f>
        <v>0.94682230869001294</v>
      </c>
      <c r="L221" s="503">
        <f t="shared" si="180"/>
        <v>0.94682230869001294</v>
      </c>
      <c r="M221" s="503">
        <f>+'Plan de Accion apoyo transversa'!AX27</f>
        <v>0.23670557717250323</v>
      </c>
      <c r="N221" s="503">
        <f t="shared" si="182"/>
        <v>0.23670557717250323</v>
      </c>
      <c r="O221" s="505">
        <f t="shared" si="181"/>
        <v>0.23670557717250323</v>
      </c>
      <c r="P221" s="229"/>
      <c r="Q221" s="234">
        <f>+'Plan de Accion apoyo transversa'!BD27</f>
        <v>0.23458445040214476</v>
      </c>
      <c r="R221" s="266">
        <f>+'Plan de Accion apoyo transversa'!CG27</f>
        <v>0.93833780160857905</v>
      </c>
      <c r="S221" s="228">
        <f t="shared" si="184"/>
        <v>0.93833780160857905</v>
      </c>
      <c r="T221" s="345">
        <f>+'Plan de Accion apoyo transversa'!BH27</f>
        <v>0.471290027574648</v>
      </c>
      <c r="U221" s="345">
        <f t="shared" si="185"/>
        <v>0.471290027574648</v>
      </c>
      <c r="V221" s="227">
        <f t="shared" si="186"/>
        <v>0.471290027574648</v>
      </c>
      <c r="W221" s="229"/>
      <c r="X221" s="234">
        <f>+'Plan de Accion apoyo transversa'!BN27</f>
        <v>0</v>
      </c>
      <c r="Y221" s="266">
        <f>+'Plan de Accion apoyo transversa'!CI27</f>
        <v>0</v>
      </c>
      <c r="Z221" s="228">
        <f t="shared" si="187"/>
        <v>0</v>
      </c>
      <c r="AA221" s="233">
        <f>+'Plan de Accion apoyo transversa'!BR27</f>
        <v>0.471290027574648</v>
      </c>
      <c r="AB221" s="233">
        <f t="shared" si="188"/>
        <v>0.471290027574648</v>
      </c>
      <c r="AC221" s="232">
        <f t="shared" si="189"/>
        <v>0.471290027574648</v>
      </c>
      <c r="AD221" s="229"/>
      <c r="AE221" s="234">
        <f>+'Plan de Accion apoyo transversa'!BX27</f>
        <v>0</v>
      </c>
      <c r="AF221" s="266">
        <f>+'Plan de Accion apoyo transversa'!CK27</f>
        <v>0</v>
      </c>
      <c r="AG221" s="228">
        <f t="shared" si="190"/>
        <v>0</v>
      </c>
      <c r="AH221" s="266">
        <f>+'Plan de Accion apoyo transversa'!CB27</f>
        <v>0.471290027574648</v>
      </c>
      <c r="AI221" s="227">
        <f t="shared" si="191"/>
        <v>0.471290027574648</v>
      </c>
      <c r="AJ221" s="348"/>
      <c r="AL221" s="346"/>
      <c r="AM221" s="346"/>
      <c r="AN221" s="220"/>
      <c r="AO221" s="349"/>
      <c r="AP221" s="346"/>
      <c r="AQ221" s="220"/>
      <c r="AR221" s="346"/>
      <c r="AS221" s="346"/>
      <c r="AT221" s="220"/>
      <c r="AU221" s="346"/>
      <c r="AV221" s="346"/>
      <c r="AW221" s="218"/>
      <c r="AX221" s="347"/>
      <c r="AZ221" s="346"/>
      <c r="BA221" s="346"/>
      <c r="BB221" s="220"/>
      <c r="BC221" s="349"/>
      <c r="BD221" s="346"/>
      <c r="BE221" s="220"/>
      <c r="BF221" s="346"/>
      <c r="BG221" s="346"/>
      <c r="BH221" s="220"/>
      <c r="BI221" s="346"/>
      <c r="BJ221" s="346"/>
      <c r="BK221" s="218"/>
      <c r="BL221" s="347"/>
      <c r="BN221" s="346"/>
      <c r="BO221" s="346"/>
      <c r="BP221" s="220"/>
      <c r="BQ221" s="349"/>
      <c r="BR221" s="346"/>
      <c r="BS221" s="220"/>
      <c r="BT221" s="346"/>
      <c r="BU221" s="346"/>
      <c r="BV221" s="220"/>
      <c r="BW221" s="346"/>
      <c r="BX221" s="346"/>
      <c r="BY221" s="218"/>
      <c r="BZ221" s="347"/>
      <c r="CB221" s="346"/>
      <c r="CC221" s="346"/>
      <c r="CD221" s="220"/>
      <c r="CE221" s="349"/>
      <c r="CF221" s="346"/>
      <c r="CG221" s="220"/>
      <c r="CH221" s="346"/>
      <c r="CI221" s="346"/>
      <c r="CJ221" s="220"/>
      <c r="CK221" s="346"/>
      <c r="CL221" s="346"/>
      <c r="CM221" s="218"/>
      <c r="CN221" s="347"/>
    </row>
    <row r="222" spans="2:92" ht="71.25" customHeight="1" x14ac:dyDescent="0.2">
      <c r="B222" s="1228"/>
      <c r="C222" s="1231"/>
      <c r="D222" s="1215"/>
      <c r="E222" s="1212"/>
      <c r="F222" s="1210"/>
      <c r="G222" s="467" t="str">
        <f>+'Plan de Accion apoyo transversa'!X28</f>
        <v>Entrega de la provisión de contingencias judiciales al Grupo de Gestión Contable y Control de Recursos ET en la fecha pactada</v>
      </c>
      <c r="H222" s="231" t="str">
        <f>+'Plan de Accion apoyo transversa'!AK28</f>
        <v>Entrega de provisión contable según requerimiento para entrega de provisión por parte de la DGRFS</v>
      </c>
      <c r="J222" s="234">
        <f>+'Plan de Accion apoyo transversa'!AT28</f>
        <v>1</v>
      </c>
      <c r="K222" s="503">
        <f>+'Plan de Accion apoyo transversa'!CE28</f>
        <v>1</v>
      </c>
      <c r="L222" s="732">
        <f t="shared" si="180"/>
        <v>1</v>
      </c>
      <c r="M222" s="732">
        <f>+'Plan de Accion apoyo transversa'!AX28</f>
        <v>0.25</v>
      </c>
      <c r="N222" s="732">
        <f t="shared" si="182"/>
        <v>0.25</v>
      </c>
      <c r="O222" s="733">
        <f t="shared" si="181"/>
        <v>0.25</v>
      </c>
      <c r="P222" s="229"/>
      <c r="Q222" s="234">
        <f>+'Plan de Accion apoyo transversa'!BD28</f>
        <v>1</v>
      </c>
      <c r="R222" s="266">
        <f>+'Plan de Accion apoyo transversa'!CG28</f>
        <v>1</v>
      </c>
      <c r="S222" s="228">
        <f t="shared" ref="S222" si="192">IF(R222&gt;100%,100%,R222)</f>
        <v>1</v>
      </c>
      <c r="T222" s="732">
        <f>+'Plan de Accion apoyo transversa'!BH28</f>
        <v>0.5</v>
      </c>
      <c r="U222" s="732">
        <f t="shared" ref="U222" si="193">IF(T222&gt;100%,100%,T222)</f>
        <v>0.5</v>
      </c>
      <c r="V222" s="227">
        <f t="shared" ref="V222" si="194">+U222</f>
        <v>0.5</v>
      </c>
      <c r="W222" s="229"/>
      <c r="X222" s="234">
        <f>+'Plan de Accion apoyo transversa'!BN28</f>
        <v>0</v>
      </c>
      <c r="Y222" s="266">
        <f>+'Plan de Accion apoyo transversa'!CI28</f>
        <v>0</v>
      </c>
      <c r="Z222" s="228">
        <f t="shared" ref="Z222" si="195">IF(Y222&gt;100%,100%,Y222)</f>
        <v>0</v>
      </c>
      <c r="AA222" s="233">
        <f>+'Plan de Accion apoyo transversa'!BR28</f>
        <v>0.5</v>
      </c>
      <c r="AB222" s="233">
        <f t="shared" ref="AB222" si="196">IF(AA222&gt;100%,100%,AA222)</f>
        <v>0.5</v>
      </c>
      <c r="AC222" s="232">
        <f t="shared" ref="AC222" si="197">+AB222</f>
        <v>0.5</v>
      </c>
      <c r="AD222" s="229"/>
      <c r="AE222" s="234">
        <f>+'Plan de Accion apoyo transversa'!BX28</f>
        <v>0</v>
      </c>
      <c r="AF222" s="266">
        <f>+'Plan de Accion apoyo transversa'!CK28</f>
        <v>0</v>
      </c>
      <c r="AG222" s="228">
        <f t="shared" ref="AG222" si="198">IF(AF222&gt;100%,100%,AF222)</f>
        <v>0</v>
      </c>
      <c r="AH222" s="266">
        <f>+'Plan de Accion apoyo transversa'!CB28</f>
        <v>0.5</v>
      </c>
      <c r="AI222" s="227">
        <f t="shared" ref="AI222" si="199">IF(AH222&gt;100%,100%,AH222)</f>
        <v>0.5</v>
      </c>
      <c r="AJ222" s="348"/>
      <c r="AL222" s="346"/>
      <c r="AM222" s="346"/>
      <c r="AN222" s="220"/>
      <c r="AO222" s="349"/>
      <c r="AP222" s="346"/>
      <c r="AQ222" s="220"/>
      <c r="AR222" s="346"/>
      <c r="AS222" s="346"/>
      <c r="AT222" s="220"/>
      <c r="AU222" s="346"/>
      <c r="AV222" s="346"/>
      <c r="AW222" s="218"/>
      <c r="AX222" s="347"/>
      <c r="AZ222" s="346"/>
      <c r="BA222" s="346"/>
      <c r="BB222" s="220"/>
      <c r="BC222" s="349"/>
      <c r="BD222" s="346"/>
      <c r="BE222" s="220"/>
      <c r="BF222" s="346"/>
      <c r="BG222" s="346"/>
      <c r="BH222" s="220"/>
      <c r="BI222" s="346"/>
      <c r="BJ222" s="346"/>
      <c r="BK222" s="218"/>
      <c r="BL222" s="347"/>
      <c r="BN222" s="346"/>
      <c r="BO222" s="346"/>
      <c r="BP222" s="220"/>
      <c r="BQ222" s="349"/>
      <c r="BR222" s="346"/>
      <c r="BS222" s="220"/>
      <c r="BT222" s="346"/>
      <c r="BU222" s="346"/>
      <c r="BV222" s="220"/>
      <c r="BW222" s="346"/>
      <c r="BX222" s="346"/>
      <c r="BY222" s="218"/>
      <c r="BZ222" s="347"/>
      <c r="CB222" s="346"/>
      <c r="CC222" s="346"/>
      <c r="CD222" s="220"/>
      <c r="CE222" s="349"/>
      <c r="CF222" s="346"/>
      <c r="CG222" s="220"/>
      <c r="CH222" s="346"/>
      <c r="CI222" s="346"/>
      <c r="CJ222" s="220"/>
      <c r="CK222" s="346"/>
      <c r="CL222" s="346"/>
      <c r="CM222" s="218"/>
      <c r="CN222" s="347"/>
    </row>
    <row r="223" spans="2:92" ht="85.5" x14ac:dyDescent="0.2">
      <c r="B223" s="1228"/>
      <c r="C223" s="1231"/>
      <c r="D223" s="1215"/>
      <c r="E223" s="1212"/>
      <c r="F223" s="1210"/>
      <c r="G223" s="1211" t="str">
        <f>+'Plan de Accion apoyo transversa'!X29</f>
        <v>Intervención en los procesos e investigaciones penales</v>
      </c>
      <c r="H223" s="231" t="str">
        <f>+'Plan de Accion apoyo transversa'!AK29</f>
        <v>#Procesos Representados durante el Trimestre / #Procesos penales en los que ADRES requiere representación judicial durante el trimestre</v>
      </c>
      <c r="J223" s="234">
        <f>+'Plan de Accion apoyo transversa'!AT29</f>
        <v>7.1428571428571425E-2</v>
      </c>
      <c r="K223" s="1197">
        <f>AVERAGE('Plan de Accion apoyo transversa'!CE29:CE30)</f>
        <v>0.14285714285714285</v>
      </c>
      <c r="L223" s="1197">
        <f t="shared" ref="L223:L234" si="200">IF(K223&gt;100%,100%,K223)</f>
        <v>0.14285714285714285</v>
      </c>
      <c r="M223" s="1197">
        <f>AVERAGE('Plan de Accion apoyo transversa'!AX29:AX30)</f>
        <v>3.5714285714285712E-2</v>
      </c>
      <c r="N223" s="1197">
        <f t="shared" ref="N223:N230" si="201">IF(M223&gt;100%,100%,M223)</f>
        <v>3.5714285714285712E-2</v>
      </c>
      <c r="O223" s="1192">
        <f t="shared" ref="O223:O234" si="202">+N223</f>
        <v>3.5714285714285712E-2</v>
      </c>
      <c r="P223" s="229"/>
      <c r="Q223" s="234">
        <f>+'Plan de Accion apoyo transversa'!BD29</f>
        <v>0.234375</v>
      </c>
      <c r="R223" s="1197">
        <f>AVERAGE('Plan de Accion apoyo transversa'!CG29:CG30)</f>
        <v>0.96875</v>
      </c>
      <c r="S223" s="1197">
        <f t="shared" si="184"/>
        <v>0.96875</v>
      </c>
      <c r="T223" s="1197">
        <f>AVERAGE('Plan de Accion apoyo transversa'!BH29:BH30)</f>
        <v>0.2779017857142857</v>
      </c>
      <c r="U223" s="1197">
        <f t="shared" si="185"/>
        <v>0.2779017857142857</v>
      </c>
      <c r="V223" s="1192">
        <f t="shared" si="186"/>
        <v>0.2779017857142857</v>
      </c>
      <c r="W223" s="229"/>
      <c r="X223" s="234">
        <f>+'Plan de Accion apoyo transversa'!BN29</f>
        <v>0</v>
      </c>
      <c r="Y223" s="1197">
        <f>AVERAGE('Plan de Accion apoyo transversa'!CI29:CI30)</f>
        <v>0</v>
      </c>
      <c r="Z223" s="1197">
        <f t="shared" si="187"/>
        <v>0</v>
      </c>
      <c r="AA223" s="1204">
        <f>AVERAGE('Plan de Accion apoyo transversa'!BR29:BR30)</f>
        <v>0.3058035714285714</v>
      </c>
      <c r="AB223" s="1204">
        <f t="shared" si="188"/>
        <v>0.3058035714285714</v>
      </c>
      <c r="AC223" s="1207">
        <f t="shared" si="189"/>
        <v>0.3058035714285714</v>
      </c>
      <c r="AD223" s="229"/>
      <c r="AE223" s="234">
        <f>+'Plan de Accion apoyo transversa'!BX29</f>
        <v>0</v>
      </c>
      <c r="AF223" s="1197">
        <f>AVERAGE('Plan de Accion apoyo transversa'!CK29:CK30)</f>
        <v>0</v>
      </c>
      <c r="AG223" s="1197">
        <f t="shared" si="190"/>
        <v>0</v>
      </c>
      <c r="AH223" s="1197">
        <f>AVERAGE('Plan de Accion apoyo transversa'!CB29:CB30)</f>
        <v>0.3058035714285714</v>
      </c>
      <c r="AI223" s="1192">
        <f t="shared" si="191"/>
        <v>0.3058035714285714</v>
      </c>
      <c r="AJ223" s="348"/>
      <c r="AL223" s="346"/>
      <c r="AM223" s="346"/>
      <c r="AN223" s="220"/>
      <c r="AO223" s="349"/>
      <c r="AP223" s="346"/>
      <c r="AQ223" s="220"/>
      <c r="AR223" s="346"/>
      <c r="AS223" s="346"/>
      <c r="AT223" s="220"/>
      <c r="AU223" s="346"/>
      <c r="AV223" s="346"/>
      <c r="AW223" s="218"/>
      <c r="AX223" s="347"/>
      <c r="AZ223" s="346"/>
      <c r="BA223" s="346"/>
      <c r="BB223" s="220"/>
      <c r="BC223" s="349"/>
      <c r="BD223" s="346"/>
      <c r="BE223" s="220"/>
      <c r="BF223" s="346"/>
      <c r="BG223" s="346"/>
      <c r="BH223" s="220"/>
      <c r="BI223" s="346"/>
      <c r="BJ223" s="346"/>
      <c r="BK223" s="218"/>
      <c r="BL223" s="347"/>
      <c r="BN223" s="346"/>
      <c r="BO223" s="346"/>
      <c r="BP223" s="220"/>
      <c r="BQ223" s="349"/>
      <c r="BR223" s="346"/>
      <c r="BS223" s="220"/>
      <c r="BT223" s="346"/>
      <c r="BU223" s="346"/>
      <c r="BV223" s="220"/>
      <c r="BW223" s="346"/>
      <c r="BX223" s="346"/>
      <c r="BY223" s="218"/>
      <c r="BZ223" s="347"/>
      <c r="CB223" s="346"/>
      <c r="CC223" s="346"/>
      <c r="CD223" s="220"/>
      <c r="CE223" s="349"/>
      <c r="CF223" s="346"/>
      <c r="CG223" s="220"/>
      <c r="CH223" s="346"/>
      <c r="CI223" s="346"/>
      <c r="CJ223" s="220"/>
      <c r="CK223" s="346"/>
      <c r="CL223" s="346"/>
      <c r="CM223" s="218"/>
      <c r="CN223" s="347"/>
    </row>
    <row r="224" spans="2:92" ht="42.75" x14ac:dyDescent="0.2">
      <c r="B224" s="1228"/>
      <c r="C224" s="1231"/>
      <c r="D224" s="1215"/>
      <c r="E224" s="1212"/>
      <c r="F224" s="1210"/>
      <c r="G224" s="1213"/>
      <c r="H224" s="231" t="str">
        <f>+'Plan de Accion apoyo transversa'!AK30</f>
        <v>#informes entregados / #Informes pedidos sobre denuncias</v>
      </c>
      <c r="J224" s="234">
        <f>+'Plan de Accion apoyo transversa'!AT30</f>
        <v>0</v>
      </c>
      <c r="K224" s="1199"/>
      <c r="L224" s="1199"/>
      <c r="M224" s="1199"/>
      <c r="N224" s="1199"/>
      <c r="O224" s="1193"/>
      <c r="P224" s="229"/>
      <c r="Q224" s="234">
        <f>+'Plan de Accion apoyo transversa'!BD30</f>
        <v>0.25</v>
      </c>
      <c r="R224" s="1199"/>
      <c r="S224" s="1199"/>
      <c r="T224" s="1199"/>
      <c r="U224" s="1199"/>
      <c r="V224" s="1193"/>
      <c r="W224" s="229"/>
      <c r="X224" s="234">
        <f>+'Plan de Accion apoyo transversa'!BN30</f>
        <v>0</v>
      </c>
      <c r="Y224" s="1199"/>
      <c r="Z224" s="1199"/>
      <c r="AA224" s="1206"/>
      <c r="AB224" s="1206"/>
      <c r="AC224" s="1209"/>
      <c r="AD224" s="229"/>
      <c r="AE224" s="234">
        <f>+'Plan de Accion apoyo transversa'!BX30</f>
        <v>0</v>
      </c>
      <c r="AF224" s="1199"/>
      <c r="AG224" s="1199"/>
      <c r="AH224" s="1199"/>
      <c r="AI224" s="1193"/>
      <c r="AJ224" s="348"/>
      <c r="AL224" s="346"/>
      <c r="AM224" s="346"/>
      <c r="AN224" s="220"/>
      <c r="AO224" s="349"/>
      <c r="AP224" s="346"/>
      <c r="AQ224" s="220"/>
      <c r="AR224" s="346"/>
      <c r="AS224" s="346"/>
      <c r="AT224" s="220"/>
      <c r="AU224" s="346"/>
      <c r="AV224" s="346"/>
      <c r="AW224" s="218"/>
      <c r="AX224" s="347"/>
      <c r="AZ224" s="346"/>
      <c r="BA224" s="346"/>
      <c r="BB224" s="220"/>
      <c r="BC224" s="349"/>
      <c r="BD224" s="346"/>
      <c r="BE224" s="220"/>
      <c r="BF224" s="346"/>
      <c r="BG224" s="346"/>
      <c r="BH224" s="220"/>
      <c r="BI224" s="346"/>
      <c r="BJ224" s="346"/>
      <c r="BK224" s="218"/>
      <c r="BL224" s="347"/>
      <c r="BN224" s="346"/>
      <c r="BO224" s="346"/>
      <c r="BP224" s="220"/>
      <c r="BQ224" s="349"/>
      <c r="BR224" s="346"/>
      <c r="BS224" s="220"/>
      <c r="BT224" s="346"/>
      <c r="BU224" s="346"/>
      <c r="BV224" s="220"/>
      <c r="BW224" s="346"/>
      <c r="BX224" s="346"/>
      <c r="BY224" s="218"/>
      <c r="BZ224" s="347"/>
      <c r="CB224" s="346"/>
      <c r="CC224" s="346"/>
      <c r="CD224" s="220"/>
      <c r="CE224" s="349"/>
      <c r="CF224" s="346"/>
      <c r="CG224" s="220"/>
      <c r="CH224" s="346"/>
      <c r="CI224" s="346"/>
      <c r="CJ224" s="220"/>
      <c r="CK224" s="346"/>
      <c r="CL224" s="346"/>
      <c r="CM224" s="218"/>
      <c r="CN224" s="347"/>
    </row>
    <row r="225" spans="2:92" ht="42.75" x14ac:dyDescent="0.2">
      <c r="B225" s="1228"/>
      <c r="C225" s="1231"/>
      <c r="D225" s="1215"/>
      <c r="E225" s="1212"/>
      <c r="F225" s="1210"/>
      <c r="G225" s="342" t="str">
        <f>+'Plan de Accion apoyo transversa'!X33</f>
        <v xml:space="preserve">Fichas técnicas  </v>
      </c>
      <c r="H225" s="231" t="str">
        <f>+'Plan de Accion apoyo transversa'!AK33</f>
        <v># Fichas técnicas  / # Audiencias a la conciliación notificadas a la entidad</v>
      </c>
      <c r="J225" s="234">
        <f>+'Plan de Accion apoyo transversa'!AT33</f>
        <v>0.10372340425531915</v>
      </c>
      <c r="K225" s="503">
        <f>+'Plan de Accion apoyo transversa'!CE33</f>
        <v>0.41489361702127658</v>
      </c>
      <c r="L225" s="503">
        <f t="shared" si="200"/>
        <v>0.41489361702127658</v>
      </c>
      <c r="M225" s="503">
        <f>+'Plan de Accion apoyo transversa'!AX33</f>
        <v>0.10372340425531915</v>
      </c>
      <c r="N225" s="503">
        <f t="shared" si="201"/>
        <v>0.10372340425531915</v>
      </c>
      <c r="O225" s="505">
        <f t="shared" si="202"/>
        <v>0.10372340425531915</v>
      </c>
      <c r="P225" s="229"/>
      <c r="Q225" s="234">
        <f>+'Plan de Accion apoyo transversa'!BD33</f>
        <v>0.11290322580645161</v>
      </c>
      <c r="R225" s="266">
        <f>+'Plan de Accion apoyo transversa'!CG33</f>
        <v>0.45161290322580644</v>
      </c>
      <c r="S225" s="228">
        <f t="shared" si="184"/>
        <v>0.45161290322580644</v>
      </c>
      <c r="T225" s="345">
        <f>+'Plan de Accion apoyo transversa'!BH33</f>
        <v>0.21662663006177074</v>
      </c>
      <c r="U225" s="345">
        <f t="shared" si="185"/>
        <v>0.21662663006177074</v>
      </c>
      <c r="V225" s="227">
        <f t="shared" si="186"/>
        <v>0.21662663006177074</v>
      </c>
      <c r="W225" s="229"/>
      <c r="X225" s="234">
        <f>+'Plan de Accion apoyo transversa'!BN33</f>
        <v>0</v>
      </c>
      <c r="Y225" s="266">
        <f>+'Plan de Accion apoyo transversa'!CI33</f>
        <v>0</v>
      </c>
      <c r="Z225" s="228">
        <f t="shared" si="187"/>
        <v>0</v>
      </c>
      <c r="AA225" s="233">
        <f>+'Plan de Accion apoyo transversa'!BR33</f>
        <v>0.21662663006177074</v>
      </c>
      <c r="AB225" s="233">
        <f t="shared" si="188"/>
        <v>0.21662663006177074</v>
      </c>
      <c r="AC225" s="232">
        <f t="shared" si="189"/>
        <v>0.21662663006177074</v>
      </c>
      <c r="AD225" s="229"/>
      <c r="AE225" s="234">
        <f>+'Plan de Accion apoyo transversa'!BX33</f>
        <v>0</v>
      </c>
      <c r="AF225" s="266">
        <f>+'Plan de Accion apoyo transversa'!CK33</f>
        <v>0</v>
      </c>
      <c r="AG225" s="228">
        <f t="shared" si="190"/>
        <v>0</v>
      </c>
      <c r="AH225" s="266">
        <f>+'Plan de Accion apoyo transversa'!CB33</f>
        <v>0.21662663006177074</v>
      </c>
      <c r="AI225" s="227">
        <f t="shared" si="191"/>
        <v>0.21662663006177074</v>
      </c>
      <c r="AJ225" s="348"/>
      <c r="AL225" s="346"/>
      <c r="AM225" s="346"/>
      <c r="AN225" s="220"/>
      <c r="AO225" s="349"/>
      <c r="AP225" s="346"/>
      <c r="AQ225" s="220"/>
      <c r="AR225" s="346"/>
      <c r="AS225" s="346"/>
      <c r="AT225" s="220"/>
      <c r="AU225" s="346"/>
      <c r="AV225" s="346"/>
      <c r="AW225" s="218"/>
      <c r="AX225" s="347"/>
      <c r="AZ225" s="346"/>
      <c r="BA225" s="346"/>
      <c r="BB225" s="220"/>
      <c r="BC225" s="349"/>
      <c r="BD225" s="346"/>
      <c r="BE225" s="220"/>
      <c r="BF225" s="346"/>
      <c r="BG225" s="346"/>
      <c r="BH225" s="220"/>
      <c r="BI225" s="346"/>
      <c r="BJ225" s="346"/>
      <c r="BK225" s="218"/>
      <c r="BL225" s="347"/>
      <c r="BN225" s="346"/>
      <c r="BO225" s="346"/>
      <c r="BP225" s="220"/>
      <c r="BQ225" s="349"/>
      <c r="BR225" s="346"/>
      <c r="BS225" s="220"/>
      <c r="BT225" s="346"/>
      <c r="BU225" s="346"/>
      <c r="BV225" s="220"/>
      <c r="BW225" s="346"/>
      <c r="BX225" s="346"/>
      <c r="BY225" s="218"/>
      <c r="BZ225" s="347"/>
      <c r="CB225" s="346"/>
      <c r="CC225" s="346"/>
      <c r="CD225" s="220"/>
      <c r="CE225" s="349"/>
      <c r="CF225" s="346"/>
      <c r="CG225" s="220"/>
      <c r="CH225" s="346"/>
      <c r="CI225" s="346"/>
      <c r="CJ225" s="220"/>
      <c r="CK225" s="346"/>
      <c r="CL225" s="346"/>
      <c r="CM225" s="218"/>
      <c r="CN225" s="347"/>
    </row>
    <row r="226" spans="2:92" ht="42.75" x14ac:dyDescent="0.2">
      <c r="B226" s="1228"/>
      <c r="C226" s="1231"/>
      <c r="D226" s="1215"/>
      <c r="E226" s="1212"/>
      <c r="F226" s="1210"/>
      <c r="G226" s="342" t="str">
        <f>+'Plan de Accion apoyo transversa'!X34</f>
        <v xml:space="preserve">Fichas técnicas demandas </v>
      </c>
      <c r="H226" s="231" t="str">
        <f>+'Plan de Accion apoyo transversa'!AK34</f>
        <v># Fichas técnicas demandas próximas a audiencia inicial / # audiencias iniciales</v>
      </c>
      <c r="J226" s="234">
        <f>+'Plan de Accion apoyo transversa'!AT34</f>
        <v>0.24786324786324787</v>
      </c>
      <c r="K226" s="503">
        <f>+'Plan de Accion apoyo transversa'!CE34</f>
        <v>0.99145299145299148</v>
      </c>
      <c r="L226" s="503">
        <f t="shared" si="200"/>
        <v>0.99145299145299148</v>
      </c>
      <c r="M226" s="503">
        <f>+'Plan de Accion apoyo transversa'!AX34</f>
        <v>0.24786324786324787</v>
      </c>
      <c r="N226" s="503">
        <f t="shared" si="201"/>
        <v>0.24786324786324787</v>
      </c>
      <c r="O226" s="505">
        <f t="shared" si="202"/>
        <v>0.24786324786324787</v>
      </c>
      <c r="P226" s="229"/>
      <c r="Q226" s="234">
        <f>+'Plan de Accion apoyo transversa'!BD34</f>
        <v>0.25</v>
      </c>
      <c r="R226" s="266">
        <f>+'Plan de Accion apoyo transversa'!CG34</f>
        <v>1</v>
      </c>
      <c r="S226" s="228">
        <f t="shared" si="184"/>
        <v>1</v>
      </c>
      <c r="T226" s="345">
        <f>+'Plan de Accion apoyo transversa'!BH34</f>
        <v>0.49786324786324787</v>
      </c>
      <c r="U226" s="345">
        <f t="shared" si="185"/>
        <v>0.49786324786324787</v>
      </c>
      <c r="V226" s="227">
        <f t="shared" si="186"/>
        <v>0.49786324786324787</v>
      </c>
      <c r="W226" s="229"/>
      <c r="X226" s="234">
        <f>+'Plan de Accion apoyo transversa'!BN34</f>
        <v>0</v>
      </c>
      <c r="Y226" s="266">
        <f>+'Plan de Accion apoyo transversa'!CI34</f>
        <v>0</v>
      </c>
      <c r="Z226" s="228">
        <f t="shared" si="187"/>
        <v>0</v>
      </c>
      <c r="AA226" s="233">
        <f>+'Plan de Accion apoyo transversa'!BR34</f>
        <v>0.49786324786324787</v>
      </c>
      <c r="AB226" s="233">
        <f t="shared" si="188"/>
        <v>0.49786324786324787</v>
      </c>
      <c r="AC226" s="232">
        <f t="shared" si="189"/>
        <v>0.49786324786324787</v>
      </c>
      <c r="AD226" s="229"/>
      <c r="AE226" s="234">
        <f>+'Plan de Accion apoyo transversa'!BX34</f>
        <v>0</v>
      </c>
      <c r="AF226" s="266">
        <f>+'Plan de Accion apoyo transversa'!CK34</f>
        <v>0</v>
      </c>
      <c r="AG226" s="228">
        <f t="shared" si="190"/>
        <v>0</v>
      </c>
      <c r="AH226" s="266">
        <f>+'Plan de Accion apoyo transversa'!CB34</f>
        <v>0.49786324786324787</v>
      </c>
      <c r="AI226" s="227">
        <f t="shared" si="191"/>
        <v>0.49786324786324787</v>
      </c>
      <c r="AJ226" s="348"/>
      <c r="AL226" s="346"/>
      <c r="AM226" s="346"/>
      <c r="AN226" s="220"/>
      <c r="AO226" s="349"/>
      <c r="AP226" s="346"/>
      <c r="AQ226" s="220"/>
      <c r="AR226" s="346"/>
      <c r="AS226" s="346"/>
      <c r="AT226" s="220"/>
      <c r="AU226" s="346"/>
      <c r="AV226" s="346"/>
      <c r="AW226" s="218"/>
      <c r="AX226" s="347"/>
      <c r="AZ226" s="346"/>
      <c r="BA226" s="346"/>
      <c r="BB226" s="220"/>
      <c r="BC226" s="349"/>
      <c r="BD226" s="346"/>
      <c r="BE226" s="220"/>
      <c r="BF226" s="346"/>
      <c r="BG226" s="346"/>
      <c r="BH226" s="220"/>
      <c r="BI226" s="346"/>
      <c r="BJ226" s="346"/>
      <c r="BK226" s="218"/>
      <c r="BL226" s="347"/>
      <c r="BN226" s="346"/>
      <c r="BO226" s="346"/>
      <c r="BP226" s="220"/>
      <c r="BQ226" s="349"/>
      <c r="BR226" s="346"/>
      <c r="BS226" s="220"/>
      <c r="BT226" s="346"/>
      <c r="BU226" s="346"/>
      <c r="BV226" s="220"/>
      <c r="BW226" s="346"/>
      <c r="BX226" s="346"/>
      <c r="BY226" s="218"/>
      <c r="BZ226" s="347"/>
      <c r="CB226" s="346"/>
      <c r="CC226" s="346"/>
      <c r="CD226" s="220"/>
      <c r="CE226" s="349"/>
      <c r="CF226" s="346"/>
      <c r="CG226" s="220"/>
      <c r="CH226" s="346"/>
      <c r="CI226" s="346"/>
      <c r="CJ226" s="220"/>
      <c r="CK226" s="346"/>
      <c r="CL226" s="346"/>
      <c r="CM226" s="218"/>
      <c r="CN226" s="347"/>
    </row>
    <row r="227" spans="2:92" ht="42.75" x14ac:dyDescent="0.2">
      <c r="B227" s="1228"/>
      <c r="C227" s="1231"/>
      <c r="D227" s="1215"/>
      <c r="E227" s="1212"/>
      <c r="F227" s="1210"/>
      <c r="G227" s="745" t="str">
        <f>+'Plan de Accion apoyo transversa'!X37</f>
        <v>Actas del Comité de Conciliación debidamente firmadas</v>
      </c>
      <c r="H227" s="231" t="str">
        <f>+'Plan de Accion apoyo transversa'!AK37</f>
        <v># Actas debidamente firmadas / # sesiones del Comité de Conciliación</v>
      </c>
      <c r="J227" s="736">
        <f>+'Plan de Accion apoyo transversa'!AT37</f>
        <v>0.05</v>
      </c>
      <c r="K227" s="732">
        <f>+'Plan de Accion apoyo transversa'!CE37</f>
        <v>0.2</v>
      </c>
      <c r="L227" s="732">
        <f t="shared" ref="L227" si="203">IF(K227&gt;100%,100%,K227)</f>
        <v>0.2</v>
      </c>
      <c r="M227" s="732">
        <f>+'Plan de Accion apoyo transversa'!AX37</f>
        <v>0.2</v>
      </c>
      <c r="N227" s="732">
        <f t="shared" ref="N227" si="204">IF(M227&gt;100%,100%,M227)</f>
        <v>0.2</v>
      </c>
      <c r="O227" s="733">
        <f t="shared" ref="O227" si="205">+N227</f>
        <v>0.2</v>
      </c>
      <c r="P227" s="229"/>
      <c r="Q227" s="234">
        <f>+'Plan de Accion apoyo transversa'!BD37</f>
        <v>0</v>
      </c>
      <c r="R227" s="266" t="s">
        <v>180</v>
      </c>
      <c r="S227" s="228" t="s">
        <v>204</v>
      </c>
      <c r="T227" s="732">
        <f>+'Plan de Accion apoyo transversa'!BH37</f>
        <v>0.2</v>
      </c>
      <c r="U227" s="732">
        <f t="shared" ref="U227" si="206">IF(T227&gt;100%,100%,T227)</f>
        <v>0.2</v>
      </c>
      <c r="V227" s="227">
        <f t="shared" ref="V227" si="207">+U227</f>
        <v>0.2</v>
      </c>
      <c r="W227" s="229"/>
      <c r="X227" s="234">
        <f>+'Plan de Accion apoyo transversa'!BN37</f>
        <v>0</v>
      </c>
      <c r="Y227" s="266" t="s">
        <v>180</v>
      </c>
      <c r="Z227" s="228" t="s">
        <v>204</v>
      </c>
      <c r="AA227" s="233">
        <f>+'Plan de Accion apoyo transversa'!BR37</f>
        <v>0.2</v>
      </c>
      <c r="AB227" s="233">
        <f t="shared" ref="AB227" si="208">IF(AA227&gt;100%,100%,AA227)</f>
        <v>0.2</v>
      </c>
      <c r="AC227" s="232">
        <f t="shared" ref="AC227" si="209">+AB227</f>
        <v>0.2</v>
      </c>
      <c r="AD227" s="229"/>
      <c r="AE227" s="234">
        <f>+'Plan de Accion apoyo transversa'!BX37</f>
        <v>0</v>
      </c>
      <c r="AF227" s="266" t="s">
        <v>180</v>
      </c>
      <c r="AG227" s="228" t="s">
        <v>204</v>
      </c>
      <c r="AH227" s="266">
        <f>+'Plan de Accion apoyo transversa'!CB37</f>
        <v>0.2</v>
      </c>
      <c r="AI227" s="227">
        <f t="shared" ref="AI227" si="210">IF(AH227&gt;100%,100%,AH227)</f>
        <v>0.2</v>
      </c>
      <c r="AJ227" s="737"/>
      <c r="AL227" s="738"/>
      <c r="AM227" s="738"/>
      <c r="AN227" s="220"/>
      <c r="AO227" s="739"/>
      <c r="AP227" s="738"/>
      <c r="AQ227" s="220"/>
      <c r="AR227" s="738"/>
      <c r="AS227" s="738"/>
      <c r="AT227" s="220"/>
      <c r="AU227" s="738"/>
      <c r="AV227" s="738"/>
      <c r="AW227" s="218"/>
      <c r="AX227" s="742"/>
      <c r="AZ227" s="738"/>
      <c r="BA227" s="738"/>
      <c r="BB227" s="220"/>
      <c r="BC227" s="739"/>
      <c r="BD227" s="738"/>
      <c r="BE227" s="220"/>
      <c r="BF227" s="738"/>
      <c r="BG227" s="738"/>
      <c r="BH227" s="220"/>
      <c r="BI227" s="738"/>
      <c r="BJ227" s="738"/>
      <c r="BK227" s="218"/>
      <c r="BL227" s="742"/>
      <c r="BN227" s="738"/>
      <c r="BO227" s="738"/>
      <c r="BP227" s="220"/>
      <c r="BQ227" s="739"/>
      <c r="BR227" s="738"/>
      <c r="BS227" s="220"/>
      <c r="BT227" s="738"/>
      <c r="BU227" s="738"/>
      <c r="BV227" s="220"/>
      <c r="BW227" s="738"/>
      <c r="BX227" s="738"/>
      <c r="BY227" s="218"/>
      <c r="BZ227" s="742"/>
      <c r="CB227" s="738"/>
      <c r="CC227" s="738"/>
      <c r="CD227" s="220"/>
      <c r="CE227" s="739"/>
      <c r="CF227" s="738"/>
      <c r="CG227" s="220"/>
      <c r="CH227" s="738"/>
      <c r="CI227" s="738"/>
      <c r="CJ227" s="220"/>
      <c r="CK227" s="738"/>
      <c r="CL227" s="738"/>
      <c r="CM227" s="218"/>
      <c r="CN227" s="742"/>
    </row>
    <row r="228" spans="2:92" ht="42.75" customHeight="1" x14ac:dyDescent="0.2">
      <c r="B228" s="1228"/>
      <c r="C228" s="1231"/>
      <c r="D228" s="1215"/>
      <c r="E228" s="1212"/>
      <c r="F228" s="1210"/>
      <c r="G228" s="342" t="str">
        <f>+'Plan de Accion apoyo transversa'!X38</f>
        <v>Actas del Comité de Conciliación debidamente firmadas</v>
      </c>
      <c r="H228" s="231" t="str">
        <f>+'Plan de Accion apoyo transversa'!AK38</f>
        <v>#actas proyectadas durante el trimestre/#Sesiones llevadas a cabo en el trimestre</v>
      </c>
      <c r="J228" s="234" t="str">
        <f>+'Plan de Accion apoyo transversa'!AT38</f>
        <v>N.A</v>
      </c>
      <c r="K228" s="732" t="s">
        <v>180</v>
      </c>
      <c r="L228" s="503" t="s">
        <v>204</v>
      </c>
      <c r="M228" s="503" t="s">
        <v>204</v>
      </c>
      <c r="N228" s="503" t="s">
        <v>204</v>
      </c>
      <c r="O228" s="505" t="s">
        <v>204</v>
      </c>
      <c r="P228" s="229"/>
      <c r="Q228" s="234">
        <f>+'Plan de Accion apoyo transversa'!BD38</f>
        <v>0.25</v>
      </c>
      <c r="R228" s="266">
        <f>+'Plan de Accion apoyo transversa'!CG38</f>
        <v>1</v>
      </c>
      <c r="S228" s="228">
        <f t="shared" si="184"/>
        <v>1</v>
      </c>
      <c r="T228" s="345">
        <f>+'Plan de Accion apoyo transversa'!BH38</f>
        <v>0.33333333333333331</v>
      </c>
      <c r="U228" s="345">
        <f t="shared" si="185"/>
        <v>0.33333333333333331</v>
      </c>
      <c r="V228" s="227">
        <f t="shared" si="186"/>
        <v>0.33333333333333331</v>
      </c>
      <c r="W228" s="229"/>
      <c r="X228" s="234">
        <f>+'Plan de Accion apoyo transversa'!BN38</f>
        <v>0</v>
      </c>
      <c r="Y228" s="266">
        <f>+'Plan de Accion apoyo transversa'!CI38</f>
        <v>0</v>
      </c>
      <c r="Z228" s="228">
        <f t="shared" si="187"/>
        <v>0</v>
      </c>
      <c r="AA228" s="233">
        <f>+'Plan de Accion apoyo transversa'!BR38</f>
        <v>0.33333333333333331</v>
      </c>
      <c r="AB228" s="233">
        <f t="shared" si="188"/>
        <v>0.33333333333333331</v>
      </c>
      <c r="AC228" s="232">
        <f t="shared" si="189"/>
        <v>0.33333333333333331</v>
      </c>
      <c r="AD228" s="229"/>
      <c r="AE228" s="234">
        <f>+'Plan de Accion apoyo transversa'!BX38</f>
        <v>0</v>
      </c>
      <c r="AF228" s="266">
        <f>+'Plan de Accion apoyo transversa'!CK38</f>
        <v>0</v>
      </c>
      <c r="AG228" s="228">
        <f t="shared" si="190"/>
        <v>0</v>
      </c>
      <c r="AH228" s="266">
        <f>+'Plan de Accion apoyo transversa'!CB38</f>
        <v>0.33333333333333331</v>
      </c>
      <c r="AI228" s="227">
        <f t="shared" si="191"/>
        <v>0.33333333333333331</v>
      </c>
      <c r="AJ228" s="348"/>
      <c r="AL228" s="346"/>
      <c r="AM228" s="346"/>
      <c r="AN228" s="220"/>
      <c r="AO228" s="349"/>
      <c r="AP228" s="346"/>
      <c r="AQ228" s="220"/>
      <c r="AR228" s="346"/>
      <c r="AS228" s="346"/>
      <c r="AT228" s="220"/>
      <c r="AU228" s="346"/>
      <c r="AV228" s="346"/>
      <c r="AW228" s="218"/>
      <c r="AX228" s="347"/>
      <c r="AZ228" s="346"/>
      <c r="BA228" s="346"/>
      <c r="BB228" s="220"/>
      <c r="BC228" s="349"/>
      <c r="BD228" s="346"/>
      <c r="BE228" s="220"/>
      <c r="BF228" s="346"/>
      <c r="BG228" s="346"/>
      <c r="BH228" s="220"/>
      <c r="BI228" s="346"/>
      <c r="BJ228" s="346"/>
      <c r="BK228" s="218"/>
      <c r="BL228" s="347"/>
      <c r="BN228" s="346"/>
      <c r="BO228" s="346"/>
      <c r="BP228" s="220"/>
      <c r="BQ228" s="349"/>
      <c r="BR228" s="346"/>
      <c r="BS228" s="220"/>
      <c r="BT228" s="346"/>
      <c r="BU228" s="346"/>
      <c r="BV228" s="220"/>
      <c r="BW228" s="346"/>
      <c r="BX228" s="346"/>
      <c r="BY228" s="218"/>
      <c r="BZ228" s="347"/>
      <c r="CB228" s="346"/>
      <c r="CC228" s="346"/>
      <c r="CD228" s="220"/>
      <c r="CE228" s="349"/>
      <c r="CF228" s="346"/>
      <c r="CG228" s="220"/>
      <c r="CH228" s="346"/>
      <c r="CI228" s="346"/>
      <c r="CJ228" s="220"/>
      <c r="CK228" s="346"/>
      <c r="CL228" s="346"/>
      <c r="CM228" s="218"/>
      <c r="CN228" s="347"/>
    </row>
    <row r="229" spans="2:92" ht="42.75" x14ac:dyDescent="0.2">
      <c r="B229" s="1228"/>
      <c r="C229" s="1231"/>
      <c r="D229" s="1215"/>
      <c r="E229" s="1212"/>
      <c r="F229" s="1210"/>
      <c r="G229" s="342" t="str">
        <f>+'Plan de Accion apoyo transversa'!X39</f>
        <v xml:space="preserve">Reparto </v>
      </c>
      <c r="H229" s="231" t="str">
        <f>+'Plan de Accion apoyo transversa'!AK39</f>
        <v># asignaciones realizadas / # de radicados de correspondencia</v>
      </c>
      <c r="J229" s="234">
        <f>+'Plan de Accion apoyo transversa'!AT39</f>
        <v>0.25</v>
      </c>
      <c r="K229" s="503">
        <f>+'Plan de Accion apoyo transversa'!CE39</f>
        <v>1</v>
      </c>
      <c r="L229" s="503">
        <f t="shared" si="200"/>
        <v>1</v>
      </c>
      <c r="M229" s="503">
        <f>+'Plan de Accion apoyo transversa'!AX39</f>
        <v>0.25</v>
      </c>
      <c r="N229" s="503">
        <f t="shared" si="201"/>
        <v>0.25</v>
      </c>
      <c r="O229" s="505">
        <f t="shared" si="202"/>
        <v>0.25</v>
      </c>
      <c r="P229" s="229"/>
      <c r="Q229" s="234">
        <f>+'Plan de Accion apoyo transversa'!BD39</f>
        <v>0.25</v>
      </c>
      <c r="R229" s="266">
        <f>+'Plan de Accion apoyo transversa'!CG39</f>
        <v>1</v>
      </c>
      <c r="S229" s="228">
        <f t="shared" si="184"/>
        <v>1</v>
      </c>
      <c r="T229" s="345">
        <f>+'Plan de Accion apoyo transversa'!BH39</f>
        <v>0.5</v>
      </c>
      <c r="U229" s="345">
        <f t="shared" si="185"/>
        <v>0.5</v>
      </c>
      <c r="V229" s="227">
        <f t="shared" si="186"/>
        <v>0.5</v>
      </c>
      <c r="W229" s="229"/>
      <c r="X229" s="234">
        <f>+'Plan de Accion apoyo transversa'!BN39</f>
        <v>0</v>
      </c>
      <c r="Y229" s="266">
        <f>+'Plan de Accion apoyo transversa'!CI39</f>
        <v>0</v>
      </c>
      <c r="Z229" s="228">
        <f t="shared" si="187"/>
        <v>0</v>
      </c>
      <c r="AA229" s="233">
        <f>+'Plan de Accion apoyo transversa'!BR39</f>
        <v>0.5</v>
      </c>
      <c r="AB229" s="233">
        <f t="shared" si="188"/>
        <v>0.5</v>
      </c>
      <c r="AC229" s="232">
        <f t="shared" si="189"/>
        <v>0.5</v>
      </c>
      <c r="AD229" s="229"/>
      <c r="AE229" s="234">
        <f>+'Plan de Accion apoyo transversa'!BX39</f>
        <v>0</v>
      </c>
      <c r="AF229" s="266">
        <f>+'Plan de Accion apoyo transversa'!CK39</f>
        <v>0</v>
      </c>
      <c r="AG229" s="228">
        <f t="shared" si="190"/>
        <v>0</v>
      </c>
      <c r="AH229" s="266">
        <f>+'Plan de Accion apoyo transversa'!CB39</f>
        <v>0.5</v>
      </c>
      <c r="AI229" s="227">
        <f t="shared" si="191"/>
        <v>0.5</v>
      </c>
      <c r="AJ229" s="348"/>
      <c r="AL229" s="346"/>
      <c r="AM229" s="346"/>
      <c r="AN229" s="220"/>
      <c r="AO229" s="349"/>
      <c r="AP229" s="346"/>
      <c r="AQ229" s="220"/>
      <c r="AR229" s="346"/>
      <c r="AS229" s="346"/>
      <c r="AT229" s="220"/>
      <c r="AU229" s="346"/>
      <c r="AV229" s="346"/>
      <c r="AW229" s="218"/>
      <c r="AX229" s="347"/>
      <c r="AZ229" s="346"/>
      <c r="BA229" s="346"/>
      <c r="BB229" s="220"/>
      <c r="BC229" s="349"/>
      <c r="BD229" s="346"/>
      <c r="BE229" s="220"/>
      <c r="BF229" s="346"/>
      <c r="BG229" s="346"/>
      <c r="BH229" s="220"/>
      <c r="BI229" s="346"/>
      <c r="BJ229" s="346"/>
      <c r="BK229" s="218"/>
      <c r="BL229" s="347"/>
      <c r="BN229" s="346"/>
      <c r="BO229" s="346"/>
      <c r="BP229" s="220"/>
      <c r="BQ229" s="349"/>
      <c r="BR229" s="346"/>
      <c r="BS229" s="220"/>
      <c r="BT229" s="346"/>
      <c r="BU229" s="346"/>
      <c r="BV229" s="220"/>
      <c r="BW229" s="346"/>
      <c r="BX229" s="346"/>
      <c r="BY229" s="218"/>
      <c r="BZ229" s="347"/>
      <c r="CB229" s="346"/>
      <c r="CC229" s="346"/>
      <c r="CD229" s="220"/>
      <c r="CE229" s="349"/>
      <c r="CF229" s="346"/>
      <c r="CG229" s="220"/>
      <c r="CH229" s="346"/>
      <c r="CI229" s="346"/>
      <c r="CJ229" s="220"/>
      <c r="CK229" s="346"/>
      <c r="CL229" s="346"/>
      <c r="CM229" s="218"/>
      <c r="CN229" s="347"/>
    </row>
    <row r="230" spans="2:92" ht="42.75" x14ac:dyDescent="0.2">
      <c r="B230" s="1228"/>
      <c r="C230" s="1232"/>
      <c r="D230" s="1216"/>
      <c r="E230" s="1213"/>
      <c r="F230" s="1203"/>
      <c r="G230" s="342" t="str">
        <f>+'Plan de Accion apoyo transversa'!X40</f>
        <v>Poderes</v>
      </c>
      <c r="H230" s="231" t="str">
        <f>+'Plan de Accion apoyo transversa'!AK40</f>
        <v># Poderes elaborados / # demandas asignadas a los apoderados</v>
      </c>
      <c r="J230" s="234">
        <f>+'Plan de Accion apoyo transversa'!AT40</f>
        <v>0.25</v>
      </c>
      <c r="K230" s="503">
        <f>+'Plan de Accion apoyo transversa'!CE40</f>
        <v>1</v>
      </c>
      <c r="L230" s="503">
        <f t="shared" si="200"/>
        <v>1</v>
      </c>
      <c r="M230" s="503">
        <f>+'Plan de Accion apoyo transversa'!AX40</f>
        <v>0.25</v>
      </c>
      <c r="N230" s="503">
        <f t="shared" si="201"/>
        <v>0.25</v>
      </c>
      <c r="O230" s="505">
        <f t="shared" si="202"/>
        <v>0.25</v>
      </c>
      <c r="P230" s="229"/>
      <c r="Q230" s="234">
        <f>+'Plan de Accion apoyo transversa'!BD40</f>
        <v>0.25</v>
      </c>
      <c r="R230" s="266">
        <f>+'Plan de Accion apoyo transversa'!CG40</f>
        <v>1</v>
      </c>
      <c r="S230" s="228">
        <f t="shared" si="184"/>
        <v>1</v>
      </c>
      <c r="T230" s="345">
        <f>+'Plan de Accion apoyo transversa'!BH40</f>
        <v>0.5</v>
      </c>
      <c r="U230" s="345">
        <f t="shared" si="185"/>
        <v>0.5</v>
      </c>
      <c r="V230" s="227">
        <f t="shared" si="186"/>
        <v>0.5</v>
      </c>
      <c r="W230" s="229"/>
      <c r="X230" s="234">
        <f>+'Plan de Accion apoyo transversa'!BN40</f>
        <v>0</v>
      </c>
      <c r="Y230" s="266">
        <f>+'Plan de Accion apoyo transversa'!CI40</f>
        <v>0</v>
      </c>
      <c r="Z230" s="228">
        <f t="shared" si="187"/>
        <v>0</v>
      </c>
      <c r="AA230" s="233">
        <f>+'Plan de Accion apoyo transversa'!BR40</f>
        <v>0.5</v>
      </c>
      <c r="AB230" s="233">
        <f t="shared" si="188"/>
        <v>0.5</v>
      </c>
      <c r="AC230" s="232">
        <f t="shared" si="189"/>
        <v>0.5</v>
      </c>
      <c r="AD230" s="229"/>
      <c r="AE230" s="234">
        <f>+'Plan de Accion apoyo transversa'!BX40</f>
        <v>0</v>
      </c>
      <c r="AF230" s="266">
        <f>+'Plan de Accion apoyo transversa'!CK40</f>
        <v>0</v>
      </c>
      <c r="AG230" s="228">
        <f t="shared" si="190"/>
        <v>0</v>
      </c>
      <c r="AH230" s="266">
        <f>+'Plan de Accion apoyo transversa'!CB40</f>
        <v>0.5</v>
      </c>
      <c r="AI230" s="227">
        <f t="shared" si="191"/>
        <v>0.5</v>
      </c>
      <c r="AJ230" s="348"/>
      <c r="AL230" s="346"/>
      <c r="AM230" s="346"/>
      <c r="AN230" s="220"/>
      <c r="AO230" s="349"/>
      <c r="AP230" s="346"/>
      <c r="AQ230" s="220"/>
      <c r="AR230" s="346"/>
      <c r="AS230" s="346"/>
      <c r="AT230" s="220"/>
      <c r="AU230" s="346"/>
      <c r="AV230" s="346"/>
      <c r="AW230" s="218"/>
      <c r="AX230" s="347"/>
      <c r="AZ230" s="346"/>
      <c r="BA230" s="346"/>
      <c r="BB230" s="220"/>
      <c r="BC230" s="349"/>
      <c r="BD230" s="346"/>
      <c r="BE230" s="220"/>
      <c r="BF230" s="346"/>
      <c r="BG230" s="346"/>
      <c r="BH230" s="220"/>
      <c r="BI230" s="346"/>
      <c r="BJ230" s="346"/>
      <c r="BK230" s="218"/>
      <c r="BL230" s="347"/>
      <c r="BN230" s="346"/>
      <c r="BO230" s="346"/>
      <c r="BP230" s="220"/>
      <c r="BQ230" s="349"/>
      <c r="BR230" s="346"/>
      <c r="BS230" s="220"/>
      <c r="BT230" s="346"/>
      <c r="BU230" s="346"/>
      <c r="BV230" s="220"/>
      <c r="BW230" s="346"/>
      <c r="BX230" s="346"/>
      <c r="BY230" s="218"/>
      <c r="BZ230" s="347"/>
      <c r="CB230" s="346"/>
      <c r="CC230" s="346"/>
      <c r="CD230" s="220"/>
      <c r="CE230" s="349"/>
      <c r="CF230" s="346"/>
      <c r="CG230" s="220"/>
      <c r="CH230" s="346"/>
      <c r="CI230" s="346"/>
      <c r="CJ230" s="220"/>
      <c r="CK230" s="346"/>
      <c r="CL230" s="346"/>
      <c r="CM230" s="218"/>
      <c r="CN230" s="347"/>
    </row>
    <row r="231" spans="2:92" ht="71.25" x14ac:dyDescent="0.2">
      <c r="B231" s="1228"/>
      <c r="C231" s="1237" t="s">
        <v>60</v>
      </c>
      <c r="D231" s="1304" t="s">
        <v>204</v>
      </c>
      <c r="E231" s="1336" t="s">
        <v>125</v>
      </c>
      <c r="F231" s="1201" t="s">
        <v>330</v>
      </c>
      <c r="G231" s="335" t="str">
        <f>+'Plan de Accion ajustes normativ'!I8</f>
        <v>Propuesta de articulado para inclusión en el proyecto del Plan Nacional de Desarrollo aprobada por Min Salud</v>
      </c>
      <c r="H231" s="231" t="str">
        <f>+'Plan de Accion ajustes normativ'!V8</f>
        <v># Propuestas aprobadas por el Min Salud</v>
      </c>
      <c r="I231" s="186"/>
      <c r="J231" s="234">
        <f>+'Plan de Accion ajustes normativ'!AE8</f>
        <v>1</v>
      </c>
      <c r="K231" s="503">
        <f>+'Plan de Accion ajustes normativ'!BP8</f>
        <v>1</v>
      </c>
      <c r="L231" s="503">
        <f t="shared" si="200"/>
        <v>1</v>
      </c>
      <c r="M231" s="503">
        <f>+'Plan de Accion ajustes normativ'!AI8</f>
        <v>1</v>
      </c>
      <c r="N231" s="503">
        <f t="shared" si="89"/>
        <v>1</v>
      </c>
      <c r="O231" s="505">
        <f t="shared" si="202"/>
        <v>1</v>
      </c>
      <c r="P231" s="360"/>
      <c r="Q231" s="235">
        <f>+'Plan de Accion ajustes normativ'!AO8</f>
        <v>0</v>
      </c>
      <c r="R231" s="266" t="str">
        <f>+'Plan de Accion ajustes normativ'!BR8</f>
        <v>No Prog ni Ejec</v>
      </c>
      <c r="S231" s="228" t="s">
        <v>204</v>
      </c>
      <c r="T231" s="324">
        <f>+'Plan de Accion ajustes normativ'!AS8</f>
        <v>1</v>
      </c>
      <c r="U231" s="324">
        <f t="shared" ref="U231:U244" si="211">IF(T231&gt;100%,100%,T231)</f>
        <v>1</v>
      </c>
      <c r="V231" s="227">
        <f t="shared" si="186"/>
        <v>1</v>
      </c>
      <c r="W231" s="935"/>
      <c r="X231" s="235">
        <f>+'Plan de Accion ajustes normativ'!AY8</f>
        <v>0</v>
      </c>
      <c r="Y231" s="266" t="str">
        <f>+'Plan de Accion ajustes normativ'!BT8</f>
        <v>No Prog ni Ejec</v>
      </c>
      <c r="Z231" s="228" t="s">
        <v>204</v>
      </c>
      <c r="AA231" s="233">
        <f>+'Plan de Accion ajustes normativ'!BC8</f>
        <v>1</v>
      </c>
      <c r="AB231" s="233">
        <f t="shared" ref="AB231:AB244" si="212">IF(AA231&gt;100%,100%,AA231)</f>
        <v>1</v>
      </c>
      <c r="AC231" s="232">
        <f t="shared" si="189"/>
        <v>1</v>
      </c>
      <c r="AD231" s="360"/>
      <c r="AE231" s="235">
        <f>+'Plan de Accion ajustes normativ'!BI8</f>
        <v>0</v>
      </c>
      <c r="AF231" s="266" t="str">
        <f>+'Plan de Accion ajustes normativ'!BV8</f>
        <v>No Prog ni Ejec</v>
      </c>
      <c r="AG231" s="228" t="s">
        <v>204</v>
      </c>
      <c r="AH231" s="266">
        <f>+'Plan de Accion ajustes normativ'!BM8</f>
        <v>1</v>
      </c>
      <c r="AI231" s="227">
        <f t="shared" ref="AI231:AI244" si="213">IF(AH231&gt;100%,100%,AH231)</f>
        <v>1</v>
      </c>
      <c r="AJ231" s="226"/>
      <c r="AL231" s="223"/>
      <c r="AM231" s="223"/>
      <c r="AN231" s="220"/>
      <c r="AO231" s="224"/>
      <c r="AP231" s="223"/>
      <c r="AQ231" s="220"/>
      <c r="AR231" s="223"/>
      <c r="AS231" s="223"/>
      <c r="AT231" s="220"/>
      <c r="AU231" s="223"/>
      <c r="AV231" s="223"/>
      <c r="AW231" s="218"/>
      <c r="AX231" s="222"/>
      <c r="AZ231" s="223"/>
      <c r="BA231" s="223"/>
      <c r="BB231" s="220"/>
      <c r="BC231" s="224"/>
      <c r="BD231" s="223"/>
      <c r="BE231" s="220"/>
      <c r="BF231" s="223"/>
      <c r="BG231" s="223"/>
      <c r="BH231" s="220"/>
      <c r="BI231" s="223"/>
      <c r="BJ231" s="223"/>
      <c r="BK231" s="218"/>
      <c r="BL231" s="222"/>
      <c r="BN231" s="223"/>
      <c r="BO231" s="223"/>
      <c r="BP231" s="220"/>
      <c r="BQ231" s="224"/>
      <c r="BR231" s="223"/>
      <c r="BS231" s="220"/>
      <c r="BT231" s="223"/>
      <c r="BU231" s="223"/>
      <c r="BV231" s="220"/>
      <c r="BW231" s="223"/>
      <c r="BX231" s="223"/>
      <c r="BY231" s="218"/>
      <c r="BZ231" s="222"/>
      <c r="CB231" s="223"/>
      <c r="CC231" s="223"/>
      <c r="CD231" s="220"/>
      <c r="CE231" s="224"/>
      <c r="CF231" s="223"/>
      <c r="CG231" s="220"/>
      <c r="CH231" s="223"/>
      <c r="CI231" s="223"/>
      <c r="CJ231" s="220"/>
      <c r="CK231" s="223"/>
      <c r="CL231" s="223"/>
      <c r="CM231" s="218"/>
      <c r="CN231" s="222"/>
    </row>
    <row r="232" spans="2:92" ht="64.5" customHeight="1" x14ac:dyDescent="0.2">
      <c r="B232" s="1228"/>
      <c r="C232" s="1237"/>
      <c r="D232" s="1304"/>
      <c r="E232" s="1336"/>
      <c r="F232" s="1201"/>
      <c r="G232" s="335" t="str">
        <f>+'Plan de Accion ajustes normativ'!I9</f>
        <v>Propuesta de articulado para inclusión en el proyecto del Plan Nacional de Desarrollo aprobada por Min Salud</v>
      </c>
      <c r="H232" s="231" t="str">
        <f>+'Plan de Accion ajustes normativ'!V9</f>
        <v># Propuestas aprobadas por el Min Salud</v>
      </c>
      <c r="I232" s="186"/>
      <c r="J232" s="234">
        <f>+'Plan de Accion ajustes normativ'!AE9</f>
        <v>1</v>
      </c>
      <c r="K232" s="503">
        <f>+'Plan de Accion ajustes normativ'!BP9</f>
        <v>1</v>
      </c>
      <c r="L232" s="503">
        <f t="shared" si="200"/>
        <v>1</v>
      </c>
      <c r="M232" s="503">
        <f>+'Plan de Accion ajustes normativ'!AI9</f>
        <v>1</v>
      </c>
      <c r="N232" s="503">
        <f t="shared" si="89"/>
        <v>1</v>
      </c>
      <c r="O232" s="505">
        <f t="shared" si="202"/>
        <v>1</v>
      </c>
      <c r="P232" s="360"/>
      <c r="Q232" s="234">
        <f>+'Plan de Accion ajustes normativ'!AO9</f>
        <v>0</v>
      </c>
      <c r="R232" s="266" t="str">
        <f>+'Plan de Accion ajustes normativ'!BR9</f>
        <v>No Prog ni Ejec</v>
      </c>
      <c r="S232" s="228" t="s">
        <v>204</v>
      </c>
      <c r="T232" s="324">
        <f>+'Plan de Accion ajustes normativ'!AS9</f>
        <v>1</v>
      </c>
      <c r="U232" s="324">
        <f t="shared" si="211"/>
        <v>1</v>
      </c>
      <c r="V232" s="227">
        <f t="shared" si="186"/>
        <v>1</v>
      </c>
      <c r="W232" s="935"/>
      <c r="X232" s="235">
        <f>+'Plan de Accion ajustes normativ'!AY9</f>
        <v>0</v>
      </c>
      <c r="Y232" s="266" t="str">
        <f>+'Plan de Accion ajustes normativ'!BT9</f>
        <v>No Prog ni Ejec</v>
      </c>
      <c r="Z232" s="228" t="s">
        <v>204</v>
      </c>
      <c r="AA232" s="233">
        <f>+'Plan de Accion ajustes normativ'!BC9</f>
        <v>1</v>
      </c>
      <c r="AB232" s="233">
        <f t="shared" si="212"/>
        <v>1</v>
      </c>
      <c r="AC232" s="232">
        <f t="shared" si="189"/>
        <v>1</v>
      </c>
      <c r="AD232" s="360"/>
      <c r="AE232" s="235">
        <f>+'Plan de Accion ajustes normativ'!BI9</f>
        <v>0</v>
      </c>
      <c r="AF232" s="266" t="str">
        <f>+'Plan de Accion ajustes normativ'!BV9</f>
        <v>No Prog ni Ejec</v>
      </c>
      <c r="AG232" s="228" t="s">
        <v>204</v>
      </c>
      <c r="AH232" s="266">
        <f>+'Plan de Accion ajustes normativ'!BM9</f>
        <v>1</v>
      </c>
      <c r="AI232" s="227">
        <f t="shared" si="213"/>
        <v>1</v>
      </c>
      <c r="AJ232" s="226"/>
      <c r="AL232" s="223"/>
      <c r="AM232" s="223"/>
      <c r="AN232" s="220"/>
      <c r="AO232" s="224"/>
      <c r="AP232" s="223"/>
      <c r="AQ232" s="220"/>
      <c r="AR232" s="223"/>
      <c r="AS232" s="223"/>
      <c r="AT232" s="220"/>
      <c r="AU232" s="223"/>
      <c r="AV232" s="223"/>
      <c r="AW232" s="218"/>
      <c r="AX232" s="222"/>
      <c r="AZ232" s="223"/>
      <c r="BA232" s="223"/>
      <c r="BB232" s="220"/>
      <c r="BC232" s="224"/>
      <c r="BD232" s="223"/>
      <c r="BE232" s="220"/>
      <c r="BF232" s="223"/>
      <c r="BG232" s="223"/>
      <c r="BH232" s="220"/>
      <c r="BI232" s="223"/>
      <c r="BJ232" s="223"/>
      <c r="BK232" s="218"/>
      <c r="BL232" s="222"/>
      <c r="BN232" s="223"/>
      <c r="BO232" s="223"/>
      <c r="BP232" s="220"/>
      <c r="BQ232" s="224"/>
      <c r="BR232" s="223"/>
      <c r="BS232" s="220"/>
      <c r="BT232" s="223"/>
      <c r="BU232" s="223"/>
      <c r="BV232" s="220"/>
      <c r="BW232" s="223"/>
      <c r="BX232" s="223"/>
      <c r="BY232" s="218"/>
      <c r="BZ232" s="222"/>
      <c r="CB232" s="223"/>
      <c r="CC232" s="223"/>
      <c r="CD232" s="220"/>
      <c r="CE232" s="224"/>
      <c r="CF232" s="223"/>
      <c r="CG232" s="220"/>
      <c r="CH232" s="223"/>
      <c r="CI232" s="223"/>
      <c r="CJ232" s="220"/>
      <c r="CK232" s="223"/>
      <c r="CL232" s="223"/>
      <c r="CM232" s="218"/>
      <c r="CN232" s="222"/>
    </row>
    <row r="233" spans="2:92" ht="64.5" customHeight="1" thickBot="1" x14ac:dyDescent="0.25">
      <c r="B233" s="1228"/>
      <c r="C233" s="1240" t="s">
        <v>94</v>
      </c>
      <c r="D233" s="1214" t="s">
        <v>204</v>
      </c>
      <c r="E233" s="1202" t="s">
        <v>1</v>
      </c>
      <c r="F233" s="1202" t="s">
        <v>330</v>
      </c>
      <c r="G233" s="335" t="str">
        <f>+'Plan de Accion apoyo transversa'!X10</f>
        <v>Informe mensual de monitoreo de la actividad en redes sociales y medios de comunicación asociados a la ADRES.</v>
      </c>
      <c r="H233" s="231" t="str">
        <f>+'Plan de Accion apoyo transversa'!AK10</f>
        <v># Informes sobre las actividades en redes sociales y medios de comunicación asociada a la ADRES presentados.</v>
      </c>
      <c r="J233" s="234">
        <f>+'Plan de Accion apoyo transversa'!AT10</f>
        <v>3</v>
      </c>
      <c r="K233" s="503">
        <f>+'Plan de Accion apoyo transversa'!CE10</f>
        <v>1</v>
      </c>
      <c r="L233" s="503">
        <f t="shared" si="200"/>
        <v>1</v>
      </c>
      <c r="M233" s="503">
        <f>+'Plan de Accion apoyo transversa'!AX10</f>
        <v>0.25</v>
      </c>
      <c r="N233" s="503">
        <f t="shared" si="89"/>
        <v>0.25</v>
      </c>
      <c r="O233" s="505">
        <f t="shared" si="202"/>
        <v>0.25</v>
      </c>
      <c r="P233" s="229"/>
      <c r="Q233" s="234">
        <f>+'Plan de Accion apoyo transversa'!BD10</f>
        <v>3</v>
      </c>
      <c r="R233" s="266">
        <f>+'Plan de Accion apoyo transversa'!CG10</f>
        <v>1</v>
      </c>
      <c r="S233" s="228">
        <f t="shared" ref="S233:S242" si="214">IF(R233&gt;100%,100%,R233)</f>
        <v>1</v>
      </c>
      <c r="T233" s="324">
        <f>+'Plan de Accion apoyo transversa'!BH10</f>
        <v>0.5</v>
      </c>
      <c r="U233" s="324">
        <f t="shared" si="211"/>
        <v>0.5</v>
      </c>
      <c r="V233" s="227">
        <f t="shared" ref="V233:V242" si="215">+U233</f>
        <v>0.5</v>
      </c>
      <c r="W233" s="229"/>
      <c r="X233" s="234">
        <f>+'Plan de Accion apoyo transversa'!BN10</f>
        <v>0</v>
      </c>
      <c r="Y233" s="266">
        <f>+'Plan de Accion apoyo transversa'!CI10</f>
        <v>0</v>
      </c>
      <c r="Z233" s="228">
        <f t="shared" ref="Z233:Z242" si="216">IF(Y233&gt;100%,100%,Y233)</f>
        <v>0</v>
      </c>
      <c r="AA233" s="233">
        <f>+'Plan de Accion apoyo transversa'!BR10</f>
        <v>0.5</v>
      </c>
      <c r="AB233" s="233">
        <f t="shared" si="212"/>
        <v>0.5</v>
      </c>
      <c r="AC233" s="232">
        <f t="shared" ref="AC233:AC242" si="217">+AB233</f>
        <v>0.5</v>
      </c>
      <c r="AD233" s="229"/>
      <c r="AE233" s="234">
        <f>+'Plan de Accion apoyo transversa'!BX10</f>
        <v>0</v>
      </c>
      <c r="AF233" s="266">
        <f>+'Plan de Accion apoyo transversa'!CK10</f>
        <v>0</v>
      </c>
      <c r="AG233" s="228">
        <f t="shared" ref="AG233:AG240" si="218">IF(AF233&gt;100%,100%,AF233)</f>
        <v>0</v>
      </c>
      <c r="AH233" s="266">
        <f>+'Plan de Accion apoyo transversa'!CB10</f>
        <v>0.5</v>
      </c>
      <c r="AI233" s="227">
        <f t="shared" si="213"/>
        <v>0.5</v>
      </c>
      <c r="AJ233" s="226"/>
      <c r="AL233" s="223"/>
      <c r="AM233" s="223"/>
      <c r="AN233" s="220"/>
      <c r="AO233" s="224"/>
      <c r="AP233" s="223"/>
      <c r="AQ233" s="220"/>
      <c r="AR233" s="223"/>
      <c r="AS233" s="223"/>
      <c r="AT233" s="220"/>
      <c r="AU233" s="223"/>
      <c r="AV233" s="223"/>
      <c r="AW233" s="218"/>
      <c r="AX233" s="222"/>
      <c r="AZ233" s="223"/>
      <c r="BA233" s="223"/>
      <c r="BB233" s="220"/>
      <c r="BC233" s="224"/>
      <c r="BD233" s="223"/>
      <c r="BE233" s="220"/>
      <c r="BF233" s="223"/>
      <c r="BG233" s="223"/>
      <c r="BH233" s="220"/>
      <c r="BI233" s="223"/>
      <c r="BJ233" s="223"/>
      <c r="BK233" s="218"/>
      <c r="BL233" s="222"/>
      <c r="BN233" s="223"/>
      <c r="BO233" s="223"/>
      <c r="BP233" s="220"/>
      <c r="BQ233" s="224"/>
      <c r="BR233" s="223"/>
      <c r="BS233" s="220"/>
      <c r="BT233" s="223"/>
      <c r="BU233" s="223"/>
      <c r="BV233" s="220"/>
      <c r="BW233" s="223"/>
      <c r="BX233" s="223"/>
      <c r="BY233" s="218"/>
      <c r="BZ233" s="222"/>
      <c r="CB233" s="223"/>
      <c r="CC233" s="223"/>
      <c r="CD233" s="220"/>
      <c r="CE233" s="224"/>
      <c r="CF233" s="223"/>
      <c r="CG233" s="220"/>
      <c r="CH233" s="223"/>
      <c r="CI233" s="223"/>
      <c r="CJ233" s="220"/>
      <c r="CK233" s="223"/>
      <c r="CL233" s="223"/>
      <c r="CM233" s="218"/>
      <c r="CN233" s="222"/>
    </row>
    <row r="234" spans="2:92" ht="71.25" x14ac:dyDescent="0.2">
      <c r="B234" s="1228"/>
      <c r="C234" s="1241"/>
      <c r="D234" s="1215"/>
      <c r="E234" s="1210"/>
      <c r="F234" s="1210"/>
      <c r="G234" s="1211" t="str">
        <f>+'Plan de Accion apoyo transversa'!X11</f>
        <v>Correos electrónicos con el monitoreo de noticias</v>
      </c>
      <c r="H234" s="231" t="str">
        <f>+'Plan de Accion apoyo transversa'!AK11</f>
        <v>((# de seguidores en Twitter periodo actual - # de seguidores en Twitter periodo anterior)/ # de seguidores en Twitter periodo anterior)</v>
      </c>
      <c r="J234" s="230">
        <f>+'Plan de Accion apoyo transversa'!AT11</f>
        <v>0.16063675832127353</v>
      </c>
      <c r="K234" s="1197">
        <f>AVERAGE('Plan de Accion apoyo transversa'!CE11:CE13)</f>
        <v>0.2141823444283647</v>
      </c>
      <c r="L234" s="1197">
        <f t="shared" si="200"/>
        <v>0.2141823444283647</v>
      </c>
      <c r="M234" s="1197">
        <f>AVERAGE('Plan de Accion apoyo transversa'!AX11:AX13)</f>
        <v>5.3545586107091175E-2</v>
      </c>
      <c r="N234" s="1197">
        <f t="shared" si="89"/>
        <v>5.3545586107091175E-2</v>
      </c>
      <c r="O234" s="1192">
        <f t="shared" si="202"/>
        <v>5.3545586107091175E-2</v>
      </c>
      <c r="P234" s="229"/>
      <c r="Q234" s="230" t="s">
        <v>204</v>
      </c>
      <c r="R234" s="1197" t="s">
        <v>180</v>
      </c>
      <c r="S234" s="1197" t="s">
        <v>204</v>
      </c>
      <c r="T234" s="1197">
        <f>AVERAGE('Plan de Accion apoyo transversa'!BH11:BH13)</f>
        <v>5.3545586107091175E-2</v>
      </c>
      <c r="U234" s="1197">
        <f t="shared" si="211"/>
        <v>5.3545586107091175E-2</v>
      </c>
      <c r="V234" s="1192">
        <f t="shared" si="215"/>
        <v>5.3545586107091175E-2</v>
      </c>
      <c r="W234" s="229"/>
      <c r="X234" s="230" t="s">
        <v>204</v>
      </c>
      <c r="Y234" s="1197" t="s">
        <v>180</v>
      </c>
      <c r="Z234" s="1197" t="s">
        <v>204</v>
      </c>
      <c r="AA234" s="1197">
        <f>AVERAGE('Plan de Accion apoyo transversa'!BR11:BR13)</f>
        <v>5.3545586107091175E-2</v>
      </c>
      <c r="AB234" s="1197">
        <f t="shared" si="212"/>
        <v>5.3545586107091175E-2</v>
      </c>
      <c r="AC234" s="1192">
        <f t="shared" si="217"/>
        <v>5.3545586107091175E-2</v>
      </c>
      <c r="AD234" s="229"/>
      <c r="AE234" s="230" t="s">
        <v>204</v>
      </c>
      <c r="AF234" s="1197" t="s">
        <v>180</v>
      </c>
      <c r="AG234" s="1197" t="s">
        <v>204</v>
      </c>
      <c r="AH234" s="1197">
        <f>AVERAGE('Plan de Accion apoyo transversa'!CB11:CB13)</f>
        <v>5.3545586107091175E-2</v>
      </c>
      <c r="AI234" s="1197">
        <f>IF(AH234&gt;100%,100%,AH234)</f>
        <v>5.3545586107091175E-2</v>
      </c>
      <c r="AJ234" s="248"/>
      <c r="AL234" s="1267"/>
      <c r="AM234" s="1267"/>
      <c r="AN234" s="220"/>
      <c r="AO234" s="1268"/>
      <c r="AP234" s="1267"/>
      <c r="AQ234" s="220"/>
      <c r="AR234" s="1267"/>
      <c r="AS234" s="1267"/>
      <c r="AT234" s="220"/>
      <c r="AU234" s="1267"/>
      <c r="AV234" s="1267"/>
      <c r="AW234" s="218"/>
      <c r="AX234" s="247"/>
      <c r="AZ234" s="1267"/>
      <c r="BA234" s="1267"/>
      <c r="BB234" s="220"/>
      <c r="BC234" s="1268"/>
      <c r="BD234" s="1267"/>
      <c r="BE234" s="220"/>
      <c r="BF234" s="1267"/>
      <c r="BG234" s="1267"/>
      <c r="BH234" s="220"/>
      <c r="BI234" s="1267"/>
      <c r="BJ234" s="1267"/>
      <c r="BK234" s="218"/>
      <c r="BL234" s="247"/>
      <c r="BN234" s="1267"/>
      <c r="BO234" s="1267"/>
      <c r="BP234" s="220"/>
      <c r="BQ234" s="1268"/>
      <c r="BR234" s="1267"/>
      <c r="BS234" s="220"/>
      <c r="BT234" s="1267"/>
      <c r="BU234" s="1267"/>
      <c r="BV234" s="220"/>
      <c r="BW234" s="1267"/>
      <c r="BX234" s="1267"/>
      <c r="BY234" s="218"/>
      <c r="BZ234" s="247"/>
      <c r="CB234" s="1267"/>
      <c r="CC234" s="1267"/>
      <c r="CD234" s="220"/>
      <c r="CE234" s="1268"/>
      <c r="CF234" s="1267"/>
      <c r="CG234" s="220"/>
      <c r="CH234" s="1267"/>
      <c r="CI234" s="1267"/>
      <c r="CJ234" s="220"/>
      <c r="CK234" s="1267"/>
      <c r="CL234" s="1267"/>
      <c r="CM234" s="218"/>
      <c r="CN234" s="247"/>
    </row>
    <row r="235" spans="2:92" ht="71.25" x14ac:dyDescent="0.2">
      <c r="B235" s="1228"/>
      <c r="C235" s="1241"/>
      <c r="D235" s="1215"/>
      <c r="E235" s="1210"/>
      <c r="F235" s="1210"/>
      <c r="G235" s="1212"/>
      <c r="H235" s="231" t="str">
        <f>+'Plan de Accion apoyo transversa'!AK12</f>
        <v>((#Visitas Página WEB periodo actual - # Visitas Página WEB periodo anterior) / # Visitas Página WEB periodo anterior)</v>
      </c>
      <c r="J235" s="230">
        <f>+'Plan de Accion apoyo transversa'!AT12</f>
        <v>0</v>
      </c>
      <c r="K235" s="1198"/>
      <c r="L235" s="1198"/>
      <c r="M235" s="1198"/>
      <c r="N235" s="1198"/>
      <c r="O235" s="1200"/>
      <c r="P235" s="229"/>
      <c r="Q235" s="230" t="s">
        <v>204</v>
      </c>
      <c r="R235" s="1198"/>
      <c r="S235" s="1198"/>
      <c r="T235" s="1198"/>
      <c r="U235" s="1198"/>
      <c r="V235" s="1200"/>
      <c r="W235" s="229"/>
      <c r="X235" s="230" t="s">
        <v>204</v>
      </c>
      <c r="Y235" s="1198"/>
      <c r="Z235" s="1198"/>
      <c r="AA235" s="1198"/>
      <c r="AB235" s="1198"/>
      <c r="AC235" s="1200"/>
      <c r="AD235" s="229"/>
      <c r="AE235" s="230" t="s">
        <v>204</v>
      </c>
      <c r="AF235" s="1198"/>
      <c r="AG235" s="1198"/>
      <c r="AH235" s="1198"/>
      <c r="AI235" s="1198"/>
      <c r="AJ235" s="246"/>
      <c r="AL235" s="1258"/>
      <c r="AM235" s="1258"/>
      <c r="AN235" s="220"/>
      <c r="AO235" s="1269"/>
      <c r="AP235" s="1258"/>
      <c r="AQ235" s="220"/>
      <c r="AR235" s="1258"/>
      <c r="AS235" s="1258"/>
      <c r="AT235" s="220"/>
      <c r="AU235" s="1258"/>
      <c r="AV235" s="1258"/>
      <c r="AW235" s="218"/>
      <c r="AX235" s="245"/>
      <c r="AZ235" s="1258"/>
      <c r="BA235" s="1258"/>
      <c r="BB235" s="220"/>
      <c r="BC235" s="1269"/>
      <c r="BD235" s="1258"/>
      <c r="BE235" s="220"/>
      <c r="BF235" s="1258"/>
      <c r="BG235" s="1258"/>
      <c r="BH235" s="220"/>
      <c r="BI235" s="1258"/>
      <c r="BJ235" s="1258"/>
      <c r="BK235" s="218"/>
      <c r="BL235" s="245"/>
      <c r="BN235" s="1258"/>
      <c r="BO235" s="1258"/>
      <c r="BP235" s="220"/>
      <c r="BQ235" s="1269"/>
      <c r="BR235" s="1258"/>
      <c r="BS235" s="220"/>
      <c r="BT235" s="1258"/>
      <c r="BU235" s="1258"/>
      <c r="BV235" s="220"/>
      <c r="BW235" s="1258"/>
      <c r="BX235" s="1258"/>
      <c r="BY235" s="218"/>
      <c r="BZ235" s="245"/>
      <c r="CB235" s="1258"/>
      <c r="CC235" s="1258"/>
      <c r="CD235" s="220"/>
      <c r="CE235" s="1269"/>
      <c r="CF235" s="1258"/>
      <c r="CG235" s="220"/>
      <c r="CH235" s="1258"/>
      <c r="CI235" s="1258"/>
      <c r="CJ235" s="220"/>
      <c r="CK235" s="1258"/>
      <c r="CL235" s="1258"/>
      <c r="CM235" s="218"/>
      <c r="CN235" s="245"/>
    </row>
    <row r="236" spans="2:92" ht="53.25" customHeight="1" thickBot="1" x14ac:dyDescent="0.25">
      <c r="B236" s="1228"/>
      <c r="C236" s="1241"/>
      <c r="D236" s="1216"/>
      <c r="E236" s="1210"/>
      <c r="F236" s="1210"/>
      <c r="G236" s="1213"/>
      <c r="H236" s="231" t="str">
        <f>+'Plan de Accion apoyo transversa'!AK13</f>
        <v>#Noticias Positivas en el periodo/#Noticias Negativas en el mismo periodo.</v>
      </c>
      <c r="J236" s="234">
        <f>+'Plan de Accion apoyo transversa'!AT13</f>
        <v>0</v>
      </c>
      <c r="K236" s="1199"/>
      <c r="L236" s="1199"/>
      <c r="M236" s="1199"/>
      <c r="N236" s="1199"/>
      <c r="O236" s="1193"/>
      <c r="P236" s="229"/>
      <c r="Q236" s="234" t="s">
        <v>204</v>
      </c>
      <c r="R236" s="1199"/>
      <c r="S236" s="1199"/>
      <c r="T236" s="1199"/>
      <c r="U236" s="1199"/>
      <c r="V236" s="1193"/>
      <c r="W236" s="229"/>
      <c r="X236" s="234" t="s">
        <v>204</v>
      </c>
      <c r="Y236" s="1199"/>
      <c r="Z236" s="1199"/>
      <c r="AA236" s="1199"/>
      <c r="AB236" s="1199"/>
      <c r="AC236" s="1193"/>
      <c r="AD236" s="229"/>
      <c r="AE236" s="234" t="s">
        <v>204</v>
      </c>
      <c r="AF236" s="1199"/>
      <c r="AG236" s="1199"/>
      <c r="AH236" s="1199"/>
      <c r="AI236" s="1199"/>
      <c r="AJ236" s="244"/>
      <c r="AL236" s="1259"/>
      <c r="AM236" s="1259"/>
      <c r="AN236" s="220"/>
      <c r="AO236" s="1270"/>
      <c r="AP236" s="1259"/>
      <c r="AQ236" s="220"/>
      <c r="AR236" s="1259"/>
      <c r="AS236" s="1259"/>
      <c r="AT236" s="220"/>
      <c r="AU236" s="1259"/>
      <c r="AV236" s="1259"/>
      <c r="AW236" s="218"/>
      <c r="AX236" s="243"/>
      <c r="AZ236" s="1259"/>
      <c r="BA236" s="1259"/>
      <c r="BB236" s="220"/>
      <c r="BC236" s="1270"/>
      <c r="BD236" s="1259"/>
      <c r="BE236" s="220"/>
      <c r="BF236" s="1259"/>
      <c r="BG236" s="1259"/>
      <c r="BH236" s="220"/>
      <c r="BI236" s="1259"/>
      <c r="BJ236" s="1259"/>
      <c r="BK236" s="218"/>
      <c r="BL236" s="243"/>
      <c r="BN236" s="1259"/>
      <c r="BO236" s="1259"/>
      <c r="BP236" s="220"/>
      <c r="BQ236" s="1270"/>
      <c r="BR236" s="1259"/>
      <c r="BS236" s="220"/>
      <c r="BT236" s="1259"/>
      <c r="BU236" s="1259"/>
      <c r="BV236" s="220"/>
      <c r="BW236" s="1259"/>
      <c r="BX236" s="1259"/>
      <c r="BY236" s="218"/>
      <c r="BZ236" s="243"/>
      <c r="CB236" s="1259"/>
      <c r="CC236" s="1259"/>
      <c r="CD236" s="220"/>
      <c r="CE236" s="1270"/>
      <c r="CF236" s="1259"/>
      <c r="CG236" s="220"/>
      <c r="CH236" s="1259"/>
      <c r="CI236" s="1259"/>
      <c r="CJ236" s="220"/>
      <c r="CK236" s="1259"/>
      <c r="CL236" s="1259"/>
      <c r="CM236" s="218"/>
      <c r="CN236" s="243"/>
    </row>
    <row r="237" spans="2:92" ht="53.25" customHeight="1" x14ac:dyDescent="0.2">
      <c r="B237" s="1228"/>
      <c r="C237" s="1241"/>
      <c r="D237" s="582" t="s">
        <v>204</v>
      </c>
      <c r="E237" s="1210"/>
      <c r="F237" s="1210"/>
      <c r="G237" s="585" t="str">
        <f>+'Plan de Accion apoyo transversa'!X185</f>
        <v>Estrategia de comunicación Interna de la ADRES.</v>
      </c>
      <c r="H237" s="231" t="str">
        <f>+'Plan de Accion apoyo transversa'!AK185</f>
        <v># Documentos estrategia de comunicación Interna de la ADRES.</v>
      </c>
      <c r="J237" s="234">
        <f>+'Plan de Accion apoyo transversa'!AT185</f>
        <v>0</v>
      </c>
      <c r="K237" s="579" t="str">
        <f>+'Plan de Accion apoyo transversa'!CE185</f>
        <v>No Prog ni Ejec</v>
      </c>
      <c r="L237" s="579" t="s">
        <v>204</v>
      </c>
      <c r="M237" s="579" t="s">
        <v>204</v>
      </c>
      <c r="N237" s="579" t="s">
        <v>204</v>
      </c>
      <c r="O237" s="581" t="s">
        <v>204</v>
      </c>
      <c r="P237" s="229"/>
      <c r="Q237" s="234">
        <f>+'Plan de Accion apoyo transversa'!BD185</f>
        <v>0</v>
      </c>
      <c r="R237" s="266" t="str">
        <f>+'Plan de Accion apoyo transversa'!CG185</f>
        <v>No Prog ni Ejec</v>
      </c>
      <c r="S237" s="228" t="s">
        <v>204</v>
      </c>
      <c r="T237" s="732">
        <f>+'Plan de Accion apoyo transversa'!BH185</f>
        <v>0</v>
      </c>
      <c r="U237" s="732">
        <f t="shared" ref="U237:U238" si="219">IF(T237&gt;100%,100%,T237)</f>
        <v>0</v>
      </c>
      <c r="V237" s="227" t="s">
        <v>204</v>
      </c>
      <c r="W237" s="229"/>
      <c r="X237" s="234">
        <f>+'Plan de Accion apoyo transversa'!BN185</f>
        <v>0</v>
      </c>
      <c r="Y237" s="266" t="str">
        <f>+'Plan de Accion apoyo transversa'!CI185</f>
        <v>No Prog ni Ejec</v>
      </c>
      <c r="Z237" s="228" t="s">
        <v>204</v>
      </c>
      <c r="AA237" s="233">
        <f>+'Plan de Accion apoyo transversa'!BR185</f>
        <v>0</v>
      </c>
      <c r="AB237" s="233">
        <f t="shared" ref="AB237" si="220">IF(AA237&gt;100%,100%,AA237)</f>
        <v>0</v>
      </c>
      <c r="AC237" s="232" t="s">
        <v>204</v>
      </c>
      <c r="AD237" s="229"/>
      <c r="AE237" s="234">
        <f>+'Plan de Accion apoyo transversa'!BX185</f>
        <v>0</v>
      </c>
      <c r="AF237" s="266">
        <f>+'Plan de Accion apoyo transversa'!CK185</f>
        <v>0</v>
      </c>
      <c r="AG237" s="228">
        <f t="shared" ref="AG237" si="221">IF(AF237&gt;100%,100%,AF237)</f>
        <v>0</v>
      </c>
      <c r="AH237" s="266">
        <f>+'Plan de Accion apoyo transversa'!CB185</f>
        <v>0</v>
      </c>
      <c r="AI237" s="227">
        <f t="shared" ref="AI237" si="222">IF(AH237&gt;100%,100%,AH237)</f>
        <v>0</v>
      </c>
      <c r="AJ237" s="246"/>
      <c r="AL237" s="586"/>
      <c r="AM237" s="586"/>
      <c r="AN237" s="220"/>
      <c r="AO237" s="589"/>
      <c r="AP237" s="586"/>
      <c r="AQ237" s="220"/>
      <c r="AR237" s="586"/>
      <c r="AS237" s="586"/>
      <c r="AT237" s="220"/>
      <c r="AU237" s="586"/>
      <c r="AV237" s="586"/>
      <c r="AW237" s="218"/>
      <c r="AX237" s="245"/>
      <c r="AZ237" s="586"/>
      <c r="BA237" s="586"/>
      <c r="BB237" s="220"/>
      <c r="BC237" s="589"/>
      <c r="BD237" s="586"/>
      <c r="BE237" s="220"/>
      <c r="BF237" s="586"/>
      <c r="BG237" s="586"/>
      <c r="BH237" s="220"/>
      <c r="BI237" s="586"/>
      <c r="BJ237" s="586"/>
      <c r="BK237" s="218"/>
      <c r="BL237" s="245"/>
      <c r="BN237" s="586"/>
      <c r="BO237" s="586"/>
      <c r="BP237" s="220"/>
      <c r="BQ237" s="589"/>
      <c r="BR237" s="586"/>
      <c r="BS237" s="220"/>
      <c r="BT237" s="586"/>
      <c r="BU237" s="586"/>
      <c r="BV237" s="220"/>
      <c r="BW237" s="586"/>
      <c r="BX237" s="586"/>
      <c r="BY237" s="218"/>
      <c r="BZ237" s="245"/>
      <c r="CB237" s="586"/>
      <c r="CC237" s="586"/>
      <c r="CD237" s="220"/>
      <c r="CE237" s="589"/>
      <c r="CF237" s="586"/>
      <c r="CG237" s="220"/>
      <c r="CH237" s="586"/>
      <c r="CI237" s="586"/>
      <c r="CJ237" s="220"/>
      <c r="CK237" s="586"/>
      <c r="CL237" s="586"/>
      <c r="CM237" s="218"/>
      <c r="CN237" s="245"/>
    </row>
    <row r="238" spans="2:92" ht="53.25" customHeight="1" thickBot="1" x14ac:dyDescent="0.25">
      <c r="B238" s="1228"/>
      <c r="C238" s="1241"/>
      <c r="D238" s="582" t="s">
        <v>204</v>
      </c>
      <c r="E238" s="1203"/>
      <c r="F238" s="1203"/>
      <c r="G238" s="585" t="str">
        <f>+'Plan de Accion apoyo transversa'!X186</f>
        <v>Estrategia de comunicación digital de la ADRES.</v>
      </c>
      <c r="H238" s="231" t="str">
        <f>+'Plan de Accion apoyo transversa'!AK186</f>
        <v># Documentos estrategia de comunicación digital de la ADRES..</v>
      </c>
      <c r="J238" s="234">
        <f>+'Plan de Accion apoyo transversa'!AT186</f>
        <v>0</v>
      </c>
      <c r="K238" s="579" t="str">
        <f>+'Plan de Accion apoyo transversa'!CE186</f>
        <v>No Prog ni Ejec</v>
      </c>
      <c r="L238" s="579" t="s">
        <v>204</v>
      </c>
      <c r="M238" s="579" t="s">
        <v>204</v>
      </c>
      <c r="N238" s="579" t="s">
        <v>204</v>
      </c>
      <c r="O238" s="581" t="s">
        <v>204</v>
      </c>
      <c r="P238" s="229"/>
      <c r="Q238" s="234">
        <f>+'Plan de Accion apoyo transversa'!BD186</f>
        <v>0</v>
      </c>
      <c r="R238" s="266" t="str">
        <f>+'Plan de Accion apoyo transversa'!CG186</f>
        <v>No Prog ni Ejec</v>
      </c>
      <c r="S238" s="228" t="s">
        <v>204</v>
      </c>
      <c r="T238" s="732">
        <f>+'Plan de Accion apoyo transversa'!BH186</f>
        <v>0</v>
      </c>
      <c r="U238" s="732">
        <f t="shared" si="219"/>
        <v>0</v>
      </c>
      <c r="V238" s="227" t="s">
        <v>204</v>
      </c>
      <c r="W238" s="229"/>
      <c r="X238" s="234">
        <f>+'Plan de Accion apoyo transversa'!BN186</f>
        <v>0</v>
      </c>
      <c r="Y238" s="266">
        <f>+'Plan de Accion apoyo transversa'!CI186</f>
        <v>0</v>
      </c>
      <c r="Z238" s="228">
        <f t="shared" si="216"/>
        <v>0</v>
      </c>
      <c r="AA238" s="233">
        <f>+'Plan de Accion apoyo transversa'!BR186</f>
        <v>0</v>
      </c>
      <c r="AB238" s="233">
        <f t="shared" ref="AB238" si="223">IF(AA238&gt;100%,100%,AA238)</f>
        <v>0</v>
      </c>
      <c r="AC238" s="232">
        <f t="shared" ref="AC238" si="224">+AB238</f>
        <v>0</v>
      </c>
      <c r="AD238" s="229"/>
      <c r="AE238" s="234">
        <f>+'Plan de Accion apoyo transversa'!BX186</f>
        <v>0</v>
      </c>
      <c r="AF238" s="266" t="str">
        <f>+'Plan de Accion apoyo transversa'!CK186</f>
        <v>No Prog ni Ejec</v>
      </c>
      <c r="AG238" s="228" t="s">
        <v>204</v>
      </c>
      <c r="AH238" s="266">
        <f>+'Plan de Accion apoyo transversa'!CB186</f>
        <v>0</v>
      </c>
      <c r="AI238" s="227">
        <f t="shared" ref="AI238" si="225">IF(AH238&gt;100%,100%,AH238)</f>
        <v>0</v>
      </c>
      <c r="AJ238" s="246"/>
      <c r="AL238" s="586"/>
      <c r="AM238" s="586"/>
      <c r="AN238" s="220"/>
      <c r="AO238" s="589"/>
      <c r="AP238" s="586"/>
      <c r="AQ238" s="220"/>
      <c r="AR238" s="586"/>
      <c r="AS238" s="586"/>
      <c r="AT238" s="220"/>
      <c r="AU238" s="586"/>
      <c r="AV238" s="586"/>
      <c r="AW238" s="218"/>
      <c r="AX238" s="245"/>
      <c r="AZ238" s="586"/>
      <c r="BA238" s="586"/>
      <c r="BB238" s="220"/>
      <c r="BC238" s="589"/>
      <c r="BD238" s="586"/>
      <c r="BE238" s="220"/>
      <c r="BF238" s="586"/>
      <c r="BG238" s="586"/>
      <c r="BH238" s="220"/>
      <c r="BI238" s="586"/>
      <c r="BJ238" s="586"/>
      <c r="BK238" s="218"/>
      <c r="BL238" s="245"/>
      <c r="BN238" s="586"/>
      <c r="BO238" s="586"/>
      <c r="BP238" s="220"/>
      <c r="BQ238" s="589"/>
      <c r="BR238" s="586"/>
      <c r="BS238" s="220"/>
      <c r="BT238" s="586"/>
      <c r="BU238" s="586"/>
      <c r="BV238" s="220"/>
      <c r="BW238" s="586"/>
      <c r="BX238" s="586"/>
      <c r="BY238" s="218"/>
      <c r="BZ238" s="245"/>
      <c r="CB238" s="586"/>
      <c r="CC238" s="586"/>
      <c r="CD238" s="220"/>
      <c r="CE238" s="589"/>
      <c r="CF238" s="586"/>
      <c r="CG238" s="220"/>
      <c r="CH238" s="586"/>
      <c r="CI238" s="586"/>
      <c r="CJ238" s="220"/>
      <c r="CK238" s="586"/>
      <c r="CL238" s="586"/>
      <c r="CM238" s="218"/>
      <c r="CN238" s="245"/>
    </row>
    <row r="239" spans="2:92" ht="42.75" customHeight="1" x14ac:dyDescent="0.2">
      <c r="B239" s="1228"/>
      <c r="C239" s="1241"/>
      <c r="D239" s="318" t="s">
        <v>204</v>
      </c>
      <c r="E239" s="335" t="s">
        <v>1186</v>
      </c>
      <c r="F239" s="354" t="s">
        <v>336</v>
      </c>
      <c r="G239" s="335" t="str">
        <f>+'Plan de Accion apoyo transversa'!X18</f>
        <v>Reuniones de autocontrol y seguimiento a  los procesos que evidencien monitoreo a los riesgos, indicadores, planes de mejoramiento, manuales y documentos asociados</v>
      </c>
      <c r="H239" s="231" t="str">
        <f>+'Plan de Accion apoyo transversa'!AK18</f>
        <v># reuniones realizadas</v>
      </c>
      <c r="J239" s="234">
        <f>+'Plan de Accion apoyo transversa'!AT18</f>
        <v>0</v>
      </c>
      <c r="K239" s="503" t="str">
        <f>+'Plan de Accion apoyo transversa'!CE18</f>
        <v>No Prog ni Ejec</v>
      </c>
      <c r="L239" s="503" t="s">
        <v>204</v>
      </c>
      <c r="M239" s="503">
        <f>+'Plan de Accion apoyo transversa'!AX18</f>
        <v>0</v>
      </c>
      <c r="N239" s="503">
        <f t="shared" ref="N239:N302" si="226">IF(M239&gt;100%,100%,M239)</f>
        <v>0</v>
      </c>
      <c r="O239" s="505" t="s">
        <v>204</v>
      </c>
      <c r="P239" s="229"/>
      <c r="Q239" s="234">
        <f>+'Plan de Accion apoyo transversa'!BD18</f>
        <v>1</v>
      </c>
      <c r="R239" s="266">
        <f>+'Plan de Accion apoyo transversa'!CG18</f>
        <v>1</v>
      </c>
      <c r="S239" s="228">
        <f t="shared" si="214"/>
        <v>1</v>
      </c>
      <c r="T239" s="324">
        <f>+'Plan de Accion apoyo transversa'!BH18</f>
        <v>0.33333333333333331</v>
      </c>
      <c r="U239" s="324">
        <f t="shared" si="211"/>
        <v>0.33333333333333331</v>
      </c>
      <c r="V239" s="227">
        <f t="shared" si="215"/>
        <v>0.33333333333333331</v>
      </c>
      <c r="W239" s="229"/>
      <c r="X239" s="234">
        <f>+'Plan de Accion apoyo transversa'!BN18</f>
        <v>0</v>
      </c>
      <c r="Y239" s="266">
        <f>+'Plan de Accion apoyo transversa'!CI18</f>
        <v>0</v>
      </c>
      <c r="Z239" s="228">
        <f t="shared" si="216"/>
        <v>0</v>
      </c>
      <c r="AA239" s="233">
        <f>+'Plan de Accion apoyo transversa'!BR18</f>
        <v>0.33333333333333331</v>
      </c>
      <c r="AB239" s="233">
        <f t="shared" si="212"/>
        <v>0.33333333333333331</v>
      </c>
      <c r="AC239" s="232">
        <f t="shared" si="217"/>
        <v>0.33333333333333331</v>
      </c>
      <c r="AD239" s="229"/>
      <c r="AE239" s="234">
        <f>+'Plan de Accion apoyo transversa'!BX18</f>
        <v>0</v>
      </c>
      <c r="AF239" s="266">
        <f>+'Plan de Accion apoyo transversa'!CK18</f>
        <v>0</v>
      </c>
      <c r="AG239" s="228">
        <f t="shared" si="218"/>
        <v>0</v>
      </c>
      <c r="AH239" s="266">
        <f>+'Plan de Accion apoyo transversa'!CB18</f>
        <v>0.33333333333333331</v>
      </c>
      <c r="AI239" s="227">
        <f t="shared" si="213"/>
        <v>0.33333333333333331</v>
      </c>
      <c r="AJ239" s="226"/>
      <c r="AL239" s="1258"/>
      <c r="AM239" s="1267"/>
      <c r="AN239" s="220"/>
      <c r="AO239" s="1269"/>
      <c r="AP239" s="1267"/>
      <c r="AQ239" s="220"/>
      <c r="AR239" s="1258"/>
      <c r="AS239" s="1267"/>
      <c r="AT239" s="220"/>
      <c r="AU239" s="1258"/>
      <c r="AV239" s="1267"/>
      <c r="AW239" s="218"/>
      <c r="AX239" s="222"/>
      <c r="AZ239" s="1258"/>
      <c r="BA239" s="1267"/>
      <c r="BB239" s="220"/>
      <c r="BC239" s="1269"/>
      <c r="BD239" s="1267"/>
      <c r="BE239" s="220"/>
      <c r="BF239" s="1258"/>
      <c r="BG239" s="1267"/>
      <c r="BH239" s="220"/>
      <c r="BI239" s="1258"/>
      <c r="BJ239" s="1267"/>
      <c r="BK239" s="218"/>
      <c r="BL239" s="222"/>
      <c r="BN239" s="1258"/>
      <c r="BO239" s="1267"/>
      <c r="BP239" s="220"/>
      <c r="BQ239" s="1269"/>
      <c r="BR239" s="1267"/>
      <c r="BS239" s="220"/>
      <c r="BT239" s="1258"/>
      <c r="BU239" s="1267"/>
      <c r="BV239" s="220"/>
      <c r="BW239" s="1258"/>
      <c r="BX239" s="1267"/>
      <c r="BY239" s="218"/>
      <c r="BZ239" s="222"/>
      <c r="CB239" s="1258"/>
      <c r="CC239" s="1267"/>
      <c r="CD239" s="220"/>
      <c r="CE239" s="1269"/>
      <c r="CF239" s="1267"/>
      <c r="CG239" s="220"/>
      <c r="CH239" s="1258"/>
      <c r="CI239" s="1267"/>
      <c r="CJ239" s="220"/>
      <c r="CK239" s="1258"/>
      <c r="CL239" s="1267"/>
      <c r="CM239" s="218"/>
      <c r="CN239" s="222"/>
    </row>
    <row r="240" spans="2:92" ht="99.75" x14ac:dyDescent="0.2">
      <c r="B240" s="1228"/>
      <c r="C240" s="1241"/>
      <c r="D240" s="318" t="s">
        <v>204</v>
      </c>
      <c r="E240" s="335" t="s">
        <v>1187</v>
      </c>
      <c r="F240" s="354" t="s">
        <v>330</v>
      </c>
      <c r="G240" s="335" t="str">
        <f>+'Plan de Accion apoyo transversa'!X17</f>
        <v>SARL, SARC y SARM implementados</v>
      </c>
      <c r="H240" s="231" t="str">
        <f>+'Plan de Accion apoyo transversa'!AK17</f>
        <v># Actividades ejecutadas / # actividades programadas</v>
      </c>
      <c r="J240" s="230">
        <f>+'Plan de Accion apoyo transversa'!AT17</f>
        <v>0</v>
      </c>
      <c r="K240" s="503" t="str">
        <f>+'Plan de Accion apoyo transversa'!CE17</f>
        <v>No Prog ni Ejec</v>
      </c>
      <c r="L240" s="503" t="s">
        <v>204</v>
      </c>
      <c r="M240" s="503">
        <f>+'Plan de Accion apoyo transversa'!AX17</f>
        <v>0</v>
      </c>
      <c r="N240" s="503">
        <f t="shared" si="226"/>
        <v>0</v>
      </c>
      <c r="O240" s="505" t="s">
        <v>204</v>
      </c>
      <c r="P240" s="229"/>
      <c r="Q240" s="230">
        <f>+'Plan de Accion apoyo transversa'!BD17</f>
        <v>0</v>
      </c>
      <c r="R240" s="266" t="str">
        <f>+'Plan de Accion apoyo transversa'!CG17</f>
        <v>No Prog ni Ejec</v>
      </c>
      <c r="S240" s="228" t="s">
        <v>204</v>
      </c>
      <c r="T240" s="324">
        <f>+'Plan de Accion apoyo transversa'!BH17</f>
        <v>0</v>
      </c>
      <c r="U240" s="324">
        <f t="shared" si="211"/>
        <v>0</v>
      </c>
      <c r="V240" s="227" t="s">
        <v>204</v>
      </c>
      <c r="W240" s="229"/>
      <c r="X240" s="230">
        <f>+'Plan de Accion apoyo transversa'!BN17</f>
        <v>0</v>
      </c>
      <c r="Y240" s="266">
        <f>+'Plan de Accion apoyo transversa'!CI17</f>
        <v>0</v>
      </c>
      <c r="Z240" s="228">
        <f t="shared" si="216"/>
        <v>0</v>
      </c>
      <c r="AA240" s="233">
        <f>+'Plan de Accion apoyo transversa'!BR17</f>
        <v>0</v>
      </c>
      <c r="AB240" s="233">
        <f t="shared" si="212"/>
        <v>0</v>
      </c>
      <c r="AC240" s="232">
        <f t="shared" si="217"/>
        <v>0</v>
      </c>
      <c r="AD240" s="229"/>
      <c r="AE240" s="230">
        <f>+'Plan de Accion apoyo transversa'!BX17</f>
        <v>0</v>
      </c>
      <c r="AF240" s="266">
        <f>+'Plan de Accion apoyo transversa'!CK17</f>
        <v>0</v>
      </c>
      <c r="AG240" s="228">
        <f t="shared" si="218"/>
        <v>0</v>
      </c>
      <c r="AH240" s="266">
        <f>+'Plan de Accion apoyo transversa'!CB17</f>
        <v>0</v>
      </c>
      <c r="AI240" s="227">
        <f t="shared" si="213"/>
        <v>0</v>
      </c>
      <c r="AJ240" s="226"/>
      <c r="AL240" s="1258"/>
      <c r="AM240" s="1258"/>
      <c r="AN240" s="220"/>
      <c r="AO240" s="1269"/>
      <c r="AP240" s="1258"/>
      <c r="AQ240" s="220"/>
      <c r="AR240" s="1258"/>
      <c r="AS240" s="1258"/>
      <c r="AT240" s="220"/>
      <c r="AU240" s="1258"/>
      <c r="AV240" s="1258"/>
      <c r="AW240" s="218"/>
      <c r="AX240" s="222"/>
      <c r="AZ240" s="1258"/>
      <c r="BA240" s="1258"/>
      <c r="BB240" s="220"/>
      <c r="BC240" s="1269"/>
      <c r="BD240" s="1258"/>
      <c r="BE240" s="220"/>
      <c r="BF240" s="1258"/>
      <c r="BG240" s="1258"/>
      <c r="BH240" s="220"/>
      <c r="BI240" s="1258"/>
      <c r="BJ240" s="1258"/>
      <c r="BK240" s="218"/>
      <c r="BL240" s="222"/>
      <c r="BN240" s="1258"/>
      <c r="BO240" s="1258"/>
      <c r="BP240" s="220"/>
      <c r="BQ240" s="1269"/>
      <c r="BR240" s="1258"/>
      <c r="BS240" s="220"/>
      <c r="BT240" s="1258"/>
      <c r="BU240" s="1258"/>
      <c r="BV240" s="220"/>
      <c r="BW240" s="1258"/>
      <c r="BX240" s="1258"/>
      <c r="BY240" s="218"/>
      <c r="BZ240" s="222"/>
      <c r="CB240" s="1258"/>
      <c r="CC240" s="1258"/>
      <c r="CD240" s="220"/>
      <c r="CE240" s="1269"/>
      <c r="CF240" s="1258"/>
      <c r="CG240" s="220"/>
      <c r="CH240" s="1258"/>
      <c r="CI240" s="1258"/>
      <c r="CJ240" s="220"/>
      <c r="CK240" s="1258"/>
      <c r="CL240" s="1258"/>
      <c r="CM240" s="218"/>
      <c r="CN240" s="222"/>
    </row>
    <row r="241" spans="2:92" ht="57.75" customHeight="1" thickBot="1" x14ac:dyDescent="0.25">
      <c r="B241" s="1228"/>
      <c r="C241" s="1241"/>
      <c r="D241" s="1202" t="s">
        <v>204</v>
      </c>
      <c r="E241" s="1211" t="s">
        <v>1188</v>
      </c>
      <c r="F241" s="758" t="s">
        <v>336</v>
      </c>
      <c r="G241" s="335" t="str">
        <f>+'Plan de Accion apoyo transversa'!X19</f>
        <v>SARLAFT implementado</v>
      </c>
      <c r="H241" s="231" t="str">
        <f>+'Plan de Accion apoyo transversa'!AK19</f>
        <v># Actividades ejecutadas / # actividades programadas</v>
      </c>
      <c r="J241" s="230">
        <f>+'Plan de Accion apoyo transversa'!AT19</f>
        <v>0.2</v>
      </c>
      <c r="K241" s="503">
        <f>+'Plan de Accion apoyo transversa'!CE19</f>
        <v>0.44444444444444448</v>
      </c>
      <c r="L241" s="503">
        <f>IF(K241&gt;100%,100%,K241)</f>
        <v>0.44444444444444448</v>
      </c>
      <c r="M241" s="503">
        <f>+'Plan de Accion apoyo transversa'!AX19</f>
        <v>0.2</v>
      </c>
      <c r="N241" s="503">
        <f t="shared" si="226"/>
        <v>0.2</v>
      </c>
      <c r="O241" s="505">
        <f>+N241</f>
        <v>0.2</v>
      </c>
      <c r="P241" s="229"/>
      <c r="Q241" s="230">
        <f>+'Plan de Accion apoyo transversa'!BD19</f>
        <v>0.25</v>
      </c>
      <c r="R241" s="266">
        <f>+'Plan de Accion apoyo transversa'!CG19</f>
        <v>1.25</v>
      </c>
      <c r="S241" s="228">
        <f t="shared" si="214"/>
        <v>1</v>
      </c>
      <c r="T241" s="324">
        <f>+'Plan de Accion apoyo transversa'!BH19</f>
        <v>0.45</v>
      </c>
      <c r="U241" s="324">
        <f t="shared" si="211"/>
        <v>0.45</v>
      </c>
      <c r="V241" s="227">
        <f t="shared" si="215"/>
        <v>0.45</v>
      </c>
      <c r="W241" s="229">
        <v>1</v>
      </c>
      <c r="X241" s="230">
        <f>+'Plan de Accion apoyo transversa'!BN19</f>
        <v>0</v>
      </c>
      <c r="Y241" s="266">
        <f>+'Plan de Accion apoyo transversa'!CI19</f>
        <v>0</v>
      </c>
      <c r="Z241" s="228">
        <f t="shared" si="216"/>
        <v>0</v>
      </c>
      <c r="AA241" s="233">
        <f>+'Plan de Accion apoyo transversa'!BR19</f>
        <v>0.45</v>
      </c>
      <c r="AB241" s="233">
        <f t="shared" si="212"/>
        <v>0.45</v>
      </c>
      <c r="AC241" s="232">
        <f t="shared" si="217"/>
        <v>0.45</v>
      </c>
      <c r="AD241" s="229"/>
      <c r="AE241" s="230">
        <f>+'Plan de Accion apoyo transversa'!BX19</f>
        <v>0</v>
      </c>
      <c r="AF241" s="266" t="str">
        <f>+'Plan de Accion apoyo transversa'!CK19</f>
        <v>No Prog ni Ejec</v>
      </c>
      <c r="AG241" s="228" t="s">
        <v>204</v>
      </c>
      <c r="AH241" s="266">
        <f>+'Plan de Accion apoyo transversa'!CB19</f>
        <v>0.45</v>
      </c>
      <c r="AI241" s="227">
        <f t="shared" si="213"/>
        <v>0.45</v>
      </c>
      <c r="AJ241" s="242"/>
      <c r="AL241" s="1259"/>
      <c r="AM241" s="1259"/>
      <c r="AN241" s="220"/>
      <c r="AO241" s="1270"/>
      <c r="AP241" s="1259"/>
      <c r="AQ241" s="220"/>
      <c r="AR241" s="1259"/>
      <c r="AS241" s="1259"/>
      <c r="AT241" s="220"/>
      <c r="AU241" s="1259"/>
      <c r="AV241" s="1259"/>
      <c r="AW241" s="218"/>
      <c r="AX241" s="241"/>
      <c r="AZ241" s="1259"/>
      <c r="BA241" s="1259"/>
      <c r="BB241" s="220"/>
      <c r="BC241" s="1270"/>
      <c r="BD241" s="1259"/>
      <c r="BE241" s="220"/>
      <c r="BF241" s="1259"/>
      <c r="BG241" s="1259"/>
      <c r="BH241" s="220"/>
      <c r="BI241" s="1259"/>
      <c r="BJ241" s="1259"/>
      <c r="BK241" s="218"/>
      <c r="BL241" s="241"/>
      <c r="BN241" s="1259"/>
      <c r="BO241" s="1259"/>
      <c r="BP241" s="220"/>
      <c r="BQ241" s="1270"/>
      <c r="BR241" s="1259"/>
      <c r="BS241" s="220"/>
      <c r="BT241" s="1259"/>
      <c r="BU241" s="1259"/>
      <c r="BV241" s="220"/>
      <c r="BW241" s="1259"/>
      <c r="BX241" s="1259"/>
      <c r="BY241" s="218"/>
      <c r="BZ241" s="241"/>
      <c r="CB241" s="1259"/>
      <c r="CC241" s="1259"/>
      <c r="CD241" s="220"/>
      <c r="CE241" s="1270"/>
      <c r="CF241" s="1259"/>
      <c r="CG241" s="220"/>
      <c r="CH241" s="1259"/>
      <c r="CI241" s="1259"/>
      <c r="CJ241" s="220"/>
      <c r="CK241" s="1259"/>
      <c r="CL241" s="1259"/>
      <c r="CM241" s="218"/>
      <c r="CN241" s="241"/>
    </row>
    <row r="242" spans="2:92" ht="29.25" thickBot="1" x14ac:dyDescent="0.25">
      <c r="B242" s="1228"/>
      <c r="C242" s="1241"/>
      <c r="D242" s="1210"/>
      <c r="E242" s="1212"/>
      <c r="F242" s="1202" t="s">
        <v>330</v>
      </c>
      <c r="G242" s="335" t="str">
        <f>+'Plan de Accion apoyo transversa'!X20</f>
        <v>Plan de Continuidad del negocio implementado</v>
      </c>
      <c r="H242" s="231" t="str">
        <f>+'Plan de Accion apoyo transversa'!AK20</f>
        <v># Actividades ejecutadas / # actividades programadas</v>
      </c>
      <c r="J242" s="230">
        <f>+'Plan de Accion apoyo transversa'!AT20</f>
        <v>0</v>
      </c>
      <c r="K242" s="503">
        <f>+'Plan de Accion apoyo transversa'!CE20</f>
        <v>0</v>
      </c>
      <c r="L242" s="503">
        <f>IF(K242&gt;100%,100%,K242)</f>
        <v>0</v>
      </c>
      <c r="M242" s="503">
        <f>+'Plan de Accion apoyo transversa'!AX20</f>
        <v>0</v>
      </c>
      <c r="N242" s="503">
        <f t="shared" si="226"/>
        <v>0</v>
      </c>
      <c r="O242" s="505">
        <f>+N242</f>
        <v>0</v>
      </c>
      <c r="P242" s="229"/>
      <c r="Q242" s="230">
        <f>+'Plan de Accion apoyo transversa'!BD20</f>
        <v>0.5714285714285714</v>
      </c>
      <c r="R242" s="266">
        <f>+'Plan de Accion apoyo transversa'!CG20</f>
        <v>2.8571428571428568</v>
      </c>
      <c r="S242" s="228">
        <f t="shared" si="214"/>
        <v>1</v>
      </c>
      <c r="T242" s="324">
        <f>+'Plan de Accion apoyo transversa'!BH20</f>
        <v>0.5714285714285714</v>
      </c>
      <c r="U242" s="324">
        <f t="shared" si="211"/>
        <v>0.5714285714285714</v>
      </c>
      <c r="V242" s="227">
        <f t="shared" si="215"/>
        <v>0.5714285714285714</v>
      </c>
      <c r="W242" s="229">
        <v>1</v>
      </c>
      <c r="X242" s="230">
        <f>+'Plan de Accion apoyo transversa'!BN20</f>
        <v>0</v>
      </c>
      <c r="Y242" s="266">
        <f>+'Plan de Accion apoyo transversa'!CI20</f>
        <v>0</v>
      </c>
      <c r="Z242" s="228">
        <f t="shared" si="216"/>
        <v>0</v>
      </c>
      <c r="AA242" s="233">
        <f>+'Plan de Accion apoyo transversa'!BR20</f>
        <v>0.5714285714285714</v>
      </c>
      <c r="AB242" s="233">
        <f t="shared" si="212"/>
        <v>0.5714285714285714</v>
      </c>
      <c r="AC242" s="232">
        <f t="shared" si="217"/>
        <v>0.5714285714285714</v>
      </c>
      <c r="AD242" s="229"/>
      <c r="AE242" s="230">
        <f>+'Plan de Accion apoyo transversa'!BX20</f>
        <v>0</v>
      </c>
      <c r="AF242" s="266" t="str">
        <f>+'Plan de Accion apoyo transversa'!CK20</f>
        <v>No Prog ni Ejec</v>
      </c>
      <c r="AG242" s="228" t="s">
        <v>204</v>
      </c>
      <c r="AH242" s="266">
        <f>+'Plan de Accion apoyo transversa'!CB20</f>
        <v>0.5714285714285714</v>
      </c>
      <c r="AI242" s="227">
        <f t="shared" si="213"/>
        <v>0.5714285714285714</v>
      </c>
      <c r="AJ242" s="237"/>
      <c r="AL242" s="239"/>
      <c r="AM242" s="238"/>
      <c r="AN242" s="220"/>
      <c r="AO242" s="239"/>
      <c r="AP242" s="238"/>
      <c r="AQ242" s="220"/>
      <c r="AR242" s="239"/>
      <c r="AS242" s="238"/>
      <c r="AT242" s="220"/>
      <c r="AU242" s="239"/>
      <c r="AV242" s="238"/>
      <c r="AW242" s="218"/>
      <c r="AX242" s="237"/>
      <c r="AZ242" s="239"/>
      <c r="BA242" s="238"/>
      <c r="BB242" s="220"/>
      <c r="BC242" s="239"/>
      <c r="BD242" s="238"/>
      <c r="BE242" s="220"/>
      <c r="BF242" s="239"/>
      <c r="BG242" s="238"/>
      <c r="BH242" s="220"/>
      <c r="BI242" s="239"/>
      <c r="BJ242" s="238"/>
      <c r="BK242" s="218"/>
      <c r="BL242" s="237"/>
      <c r="BN242" s="239"/>
      <c r="BO242" s="238"/>
      <c r="BP242" s="220"/>
      <c r="BQ242" s="239"/>
      <c r="BR242" s="238"/>
      <c r="BS242" s="220"/>
      <c r="BT242" s="239"/>
      <c r="BU242" s="238"/>
      <c r="BV242" s="220"/>
      <c r="BW242" s="239"/>
      <c r="BX242" s="238"/>
      <c r="BY242" s="218"/>
      <c r="BZ242" s="237"/>
      <c r="CB242" s="239"/>
      <c r="CC242" s="238"/>
      <c r="CD242" s="220"/>
      <c r="CE242" s="239"/>
      <c r="CF242" s="238"/>
      <c r="CG242" s="220"/>
      <c r="CH242" s="239"/>
      <c r="CI242" s="238"/>
      <c r="CJ242" s="220"/>
      <c r="CK242" s="239"/>
      <c r="CL242" s="238"/>
      <c r="CM242" s="218"/>
      <c r="CN242" s="237"/>
    </row>
    <row r="243" spans="2:92" ht="29.25" thickBot="1" x14ac:dyDescent="0.25">
      <c r="B243" s="1228"/>
      <c r="C243" s="1241"/>
      <c r="D243" s="1203"/>
      <c r="E243" s="1213"/>
      <c r="F243" s="1203"/>
      <c r="G243" s="335" t="str">
        <f>+'Plan de Accion apoyo transversa'!X21</f>
        <v>Plan estratégico cuatrienal aprobado</v>
      </c>
      <c r="H243" s="231" t="str">
        <f>+'Plan de Accion apoyo transversa'!AK21</f>
        <v># Planes estratégicos cuatrienales aprobados</v>
      </c>
      <c r="J243" s="234">
        <f>+'Plan de Accion apoyo transversa'!AT21</f>
        <v>0</v>
      </c>
      <c r="K243" s="503" t="str">
        <f>+'Plan de Accion apoyo transversa'!CE21</f>
        <v>No Prog ni Ejec</v>
      </c>
      <c r="L243" s="503" t="s">
        <v>204</v>
      </c>
      <c r="M243" s="503">
        <f>+'Plan de Accion apoyo transversa'!AX21</f>
        <v>0</v>
      </c>
      <c r="N243" s="503">
        <f t="shared" si="226"/>
        <v>0</v>
      </c>
      <c r="O243" s="505" t="s">
        <v>204</v>
      </c>
      <c r="P243" s="229"/>
      <c r="Q243" s="234">
        <f>+'Plan de Accion apoyo transversa'!BD21</f>
        <v>0</v>
      </c>
      <c r="R243" s="266" t="str">
        <f>+'Plan de Accion apoyo transversa'!CG21</f>
        <v>No Prog ni Ejec</v>
      </c>
      <c r="S243" s="228" t="s">
        <v>204</v>
      </c>
      <c r="T243" s="324">
        <f>+'Plan de Accion apoyo transversa'!BH21</f>
        <v>0</v>
      </c>
      <c r="U243" s="324">
        <f t="shared" si="211"/>
        <v>0</v>
      </c>
      <c r="V243" s="227" t="s">
        <v>204</v>
      </c>
      <c r="W243" s="229"/>
      <c r="X243" s="234">
        <f>+'Plan de Accion apoyo transversa'!BN21</f>
        <v>0</v>
      </c>
      <c r="Y243" s="266" t="str">
        <f>+'Plan de Accion apoyo transversa'!CI21</f>
        <v>No Prog ni Ejec</v>
      </c>
      <c r="Z243" s="228" t="s">
        <v>204</v>
      </c>
      <c r="AA243" s="233">
        <f>+'Plan de Accion apoyo transversa'!BR21</f>
        <v>0</v>
      </c>
      <c r="AB243" s="233">
        <f t="shared" si="212"/>
        <v>0</v>
      </c>
      <c r="AC243" s="232" t="s">
        <v>204</v>
      </c>
      <c r="AD243" s="229"/>
      <c r="AE243" s="234">
        <f>+'Plan de Accion apoyo transversa'!BX21</f>
        <v>0</v>
      </c>
      <c r="AF243" s="266">
        <f>+'Plan de Accion apoyo transversa'!CK21</f>
        <v>0</v>
      </c>
      <c r="AG243" s="228">
        <f>IF(AF243&gt;100%,100%,AF243)</f>
        <v>0</v>
      </c>
      <c r="AH243" s="266">
        <f>+'Plan de Accion apoyo transversa'!CB21</f>
        <v>0</v>
      </c>
      <c r="AI243" s="227">
        <f t="shared" si="213"/>
        <v>0</v>
      </c>
      <c r="AJ243" s="237"/>
      <c r="AL243" s="239"/>
      <c r="AM243" s="238"/>
      <c r="AN243" s="220"/>
      <c r="AO243" s="239"/>
      <c r="AP243" s="238"/>
      <c r="AQ243" s="220"/>
      <c r="AR243" s="239"/>
      <c r="AS243" s="238"/>
      <c r="AT243" s="220"/>
      <c r="AU243" s="239"/>
      <c r="AV243" s="238"/>
      <c r="AW243" s="218"/>
      <c r="AX243" s="237"/>
      <c r="AZ243" s="239"/>
      <c r="BA243" s="238"/>
      <c r="BB243" s="220"/>
      <c r="BC243" s="239"/>
      <c r="BD243" s="238"/>
      <c r="BE243" s="220"/>
      <c r="BF243" s="239"/>
      <c r="BG243" s="238"/>
      <c r="BH243" s="220"/>
      <c r="BI243" s="239"/>
      <c r="BJ243" s="238"/>
      <c r="BK243" s="218"/>
      <c r="BL243" s="237"/>
      <c r="BN243" s="239"/>
      <c r="BO243" s="238"/>
      <c r="BP243" s="220"/>
      <c r="BQ243" s="239"/>
      <c r="BR243" s="238"/>
      <c r="BS243" s="220"/>
      <c r="BT243" s="239"/>
      <c r="BU243" s="238"/>
      <c r="BV243" s="220"/>
      <c r="BW243" s="239"/>
      <c r="BX243" s="238"/>
      <c r="BY243" s="218"/>
      <c r="BZ243" s="237"/>
      <c r="CB243" s="239"/>
      <c r="CC243" s="238"/>
      <c r="CD243" s="220"/>
      <c r="CE243" s="239"/>
      <c r="CF243" s="238"/>
      <c r="CG243" s="220"/>
      <c r="CH243" s="239"/>
      <c r="CI243" s="238"/>
      <c r="CJ243" s="220"/>
      <c r="CK243" s="239"/>
      <c r="CL243" s="238"/>
      <c r="CM243" s="218"/>
      <c r="CN243" s="237"/>
    </row>
    <row r="244" spans="2:92" ht="100.5" thickBot="1" x14ac:dyDescent="0.25">
      <c r="B244" s="1228"/>
      <c r="C244" s="1241"/>
      <c r="D244" s="318" t="s">
        <v>204</v>
      </c>
      <c r="E244" s="335" t="s">
        <v>125</v>
      </c>
      <c r="F244" s="320" t="s">
        <v>336</v>
      </c>
      <c r="G244" s="335" t="str">
        <f>+'Plan de Accion apoyo transversa'!X42</f>
        <v>Reuniones de autocontrol y seguimiento a  los procesos que evidencien monitoreo a los riesgos, indicadores, planes de mejoramiento, manuales y documentos asociados</v>
      </c>
      <c r="H244" s="231" t="str">
        <f>+'Plan de Accion apoyo transversa'!AK42</f>
        <v># reuniones realizadas</v>
      </c>
      <c r="J244" s="234">
        <f>+'Plan de Accion apoyo transversa'!AT42</f>
        <v>0</v>
      </c>
      <c r="K244" s="503" t="str">
        <f>+'Plan de Accion apoyo transversa'!CE42</f>
        <v>No Prog ni Ejec</v>
      </c>
      <c r="L244" s="503" t="s">
        <v>204</v>
      </c>
      <c r="M244" s="503">
        <f>+'Plan de Accion apoyo transversa'!AX42</f>
        <v>0</v>
      </c>
      <c r="N244" s="503">
        <f t="shared" si="226"/>
        <v>0</v>
      </c>
      <c r="O244" s="505" t="s">
        <v>204</v>
      </c>
      <c r="P244" s="229"/>
      <c r="Q244" s="234">
        <f>+'Plan de Accion apoyo transversa'!BD42</f>
        <v>2</v>
      </c>
      <c r="R244" s="266">
        <f>+'Plan de Accion apoyo transversa'!CG42</f>
        <v>2</v>
      </c>
      <c r="S244" s="228">
        <f>IF(R244&gt;100%,100%,R244)</f>
        <v>1</v>
      </c>
      <c r="T244" s="324">
        <f>+'Plan de Accion apoyo transversa'!BH42</f>
        <v>0.66666666666666663</v>
      </c>
      <c r="U244" s="324">
        <f t="shared" si="211"/>
        <v>0.66666666666666663</v>
      </c>
      <c r="V244" s="227">
        <f>+U244</f>
        <v>0.66666666666666663</v>
      </c>
      <c r="W244" s="229">
        <v>1</v>
      </c>
      <c r="X244" s="234">
        <f>+'Plan de Accion apoyo transversa'!BN42</f>
        <v>0</v>
      </c>
      <c r="Y244" s="266">
        <f>+'Plan de Accion apoyo transversa'!CI42</f>
        <v>0</v>
      </c>
      <c r="Z244" s="228">
        <f>IF(Y244&gt;100%,100%,Y244)</f>
        <v>0</v>
      </c>
      <c r="AA244" s="233">
        <f>+'Plan de Accion apoyo transversa'!BR42</f>
        <v>0.66666666666666663</v>
      </c>
      <c r="AB244" s="233">
        <f t="shared" si="212"/>
        <v>0.66666666666666663</v>
      </c>
      <c r="AC244" s="232">
        <f>+AB244</f>
        <v>0.66666666666666663</v>
      </c>
      <c r="AD244" s="229"/>
      <c r="AE244" s="234">
        <f>+'Plan de Accion apoyo transversa'!BX42</f>
        <v>0</v>
      </c>
      <c r="AF244" s="266">
        <f>+'Plan de Accion apoyo transversa'!CK42</f>
        <v>0</v>
      </c>
      <c r="AG244" s="228">
        <f>IF(AF244&gt;100%,100%,AF244)</f>
        <v>0</v>
      </c>
      <c r="AH244" s="266">
        <f>+'Plan de Accion apoyo transversa'!CB42</f>
        <v>0.66666666666666663</v>
      </c>
      <c r="AI244" s="227">
        <f t="shared" si="213"/>
        <v>0.66666666666666663</v>
      </c>
      <c r="AJ244" s="237"/>
      <c r="AL244" s="239"/>
      <c r="AM244" s="238"/>
      <c r="AN244" s="220"/>
      <c r="AO244" s="239"/>
      <c r="AP244" s="238"/>
      <c r="AQ244" s="220"/>
      <c r="AR244" s="239"/>
      <c r="AS244" s="238"/>
      <c r="AT244" s="220"/>
      <c r="AU244" s="239"/>
      <c r="AV244" s="238"/>
      <c r="AW244" s="218"/>
      <c r="AX244" s="237"/>
      <c r="AZ244" s="239"/>
      <c r="BA244" s="238"/>
      <c r="BB244" s="220"/>
      <c r="BC244" s="239"/>
      <c r="BD244" s="238"/>
      <c r="BE244" s="220"/>
      <c r="BF244" s="239"/>
      <c r="BG244" s="238"/>
      <c r="BH244" s="220"/>
      <c r="BI244" s="239"/>
      <c r="BJ244" s="238"/>
      <c r="BK244" s="218"/>
      <c r="BL244" s="237"/>
      <c r="BN244" s="239"/>
      <c r="BO244" s="238"/>
      <c r="BP244" s="220"/>
      <c r="BQ244" s="239"/>
      <c r="BR244" s="238"/>
      <c r="BS244" s="220"/>
      <c r="BT244" s="239"/>
      <c r="BU244" s="238"/>
      <c r="BV244" s="220"/>
      <c r="BW244" s="239"/>
      <c r="BX244" s="238"/>
      <c r="BY244" s="218"/>
      <c r="BZ244" s="237"/>
      <c r="CB244" s="239"/>
      <c r="CC244" s="238"/>
      <c r="CD244" s="220"/>
      <c r="CE244" s="239"/>
      <c r="CF244" s="238"/>
      <c r="CG244" s="220"/>
      <c r="CH244" s="239"/>
      <c r="CI244" s="238"/>
      <c r="CJ244" s="220"/>
      <c r="CK244" s="239"/>
      <c r="CL244" s="238"/>
      <c r="CM244" s="218"/>
      <c r="CN244" s="237"/>
    </row>
    <row r="245" spans="2:92" ht="29.25" thickBot="1" x14ac:dyDescent="0.25">
      <c r="B245" s="1228"/>
      <c r="C245" s="1241"/>
      <c r="D245" s="1202" t="s">
        <v>204</v>
      </c>
      <c r="E245" s="1211" t="s">
        <v>3</v>
      </c>
      <c r="F245" s="1201" t="s">
        <v>330</v>
      </c>
      <c r="G245" s="335" t="str">
        <f>+'Plan de Accion apoyo transversa'!X43</f>
        <v>Reporte Trimestral del Avance del Plan de Acción</v>
      </c>
      <c r="H245" s="231" t="str">
        <f>+'Plan de Accion apoyo transversa'!AK43</f>
        <v># Informes trimestrales reportados</v>
      </c>
      <c r="J245" s="234">
        <f>+'Plan de Accion apoyo transversa'!AT43</f>
        <v>1</v>
      </c>
      <c r="K245" s="503">
        <f>+'Plan de Accion apoyo transversa'!CE43</f>
        <v>1</v>
      </c>
      <c r="L245" s="503">
        <f>IF(K245&gt;100%,100%,K245)</f>
        <v>1</v>
      </c>
      <c r="M245" s="503">
        <f>+'Plan de Accion apoyo transversa'!AX43</f>
        <v>0.25</v>
      </c>
      <c r="N245" s="503">
        <f t="shared" si="226"/>
        <v>0.25</v>
      </c>
      <c r="O245" s="505">
        <f t="shared" ref="O245:O251" si="227">+N245</f>
        <v>0.25</v>
      </c>
      <c r="P245" s="229"/>
      <c r="Q245" s="234">
        <f>+'Plan de Accion apoyo transversa'!BD43</f>
        <v>1</v>
      </c>
      <c r="R245" s="266">
        <f>+'Plan de Accion apoyo transversa'!CG43</f>
        <v>1</v>
      </c>
      <c r="S245" s="228">
        <f t="shared" ref="S245:S254" si="228">IF(R245&gt;100%,100%,R245)</f>
        <v>1</v>
      </c>
      <c r="T245" s="324">
        <f>+'Plan de Accion apoyo transversa'!BH43</f>
        <v>0.5</v>
      </c>
      <c r="U245" s="324">
        <f t="shared" ref="U245:U256" si="229">IF(T245&gt;100%,100%,T245)</f>
        <v>0.5</v>
      </c>
      <c r="V245" s="227">
        <f t="shared" ref="V245:V257" si="230">+U245</f>
        <v>0.5</v>
      </c>
      <c r="W245" s="229"/>
      <c r="X245" s="234">
        <f>+'Plan de Accion apoyo transversa'!BN43</f>
        <v>0</v>
      </c>
      <c r="Y245" s="266">
        <f>+'Plan de Accion apoyo transversa'!CI43</f>
        <v>0</v>
      </c>
      <c r="Z245" s="228">
        <f t="shared" ref="Z245:Z255" si="231">IF(Y245&gt;100%,100%,Y245)</f>
        <v>0</v>
      </c>
      <c r="AA245" s="233">
        <f>+'Plan de Accion apoyo transversa'!BR43</f>
        <v>0.5</v>
      </c>
      <c r="AB245" s="233">
        <f t="shared" ref="AB245:AB256" si="232">IF(AA245&gt;100%,100%,AA245)</f>
        <v>0.5</v>
      </c>
      <c r="AC245" s="232">
        <f t="shared" ref="AC245:AC256" si="233">+AB245</f>
        <v>0.5</v>
      </c>
      <c r="AD245" s="229"/>
      <c r="AE245" s="234">
        <f>+'Plan de Accion apoyo transversa'!BX43</f>
        <v>0</v>
      </c>
      <c r="AF245" s="266">
        <f>+'Plan de Accion apoyo transversa'!CK43</f>
        <v>0</v>
      </c>
      <c r="AG245" s="228">
        <f t="shared" ref="AG245:AG251" si="234">IF(AF245&gt;100%,100%,AF245)</f>
        <v>0</v>
      </c>
      <c r="AH245" s="266">
        <f>+'Plan de Accion apoyo transversa'!CB43</f>
        <v>0.5</v>
      </c>
      <c r="AI245" s="227">
        <f t="shared" ref="AI245:AI256" si="235">IF(AH245&gt;100%,100%,AH245)</f>
        <v>0.5</v>
      </c>
      <c r="AJ245" s="237"/>
      <c r="AL245" s="239"/>
      <c r="AM245" s="238"/>
      <c r="AN245" s="220"/>
      <c r="AO245" s="239"/>
      <c r="AP245" s="238"/>
      <c r="AQ245" s="220"/>
      <c r="AR245" s="239"/>
      <c r="AS245" s="238"/>
      <c r="AT245" s="220"/>
      <c r="AU245" s="239"/>
      <c r="AV245" s="238"/>
      <c r="AW245" s="218"/>
      <c r="AX245" s="237"/>
      <c r="AZ245" s="239"/>
      <c r="BA245" s="238"/>
      <c r="BB245" s="220"/>
      <c r="BC245" s="239"/>
      <c r="BD245" s="238"/>
      <c r="BE245" s="220"/>
      <c r="BF245" s="239"/>
      <c r="BG245" s="238"/>
      <c r="BH245" s="220"/>
      <c r="BI245" s="239"/>
      <c r="BJ245" s="238"/>
      <c r="BK245" s="218"/>
      <c r="BL245" s="237"/>
      <c r="BN245" s="239"/>
      <c r="BO245" s="238"/>
      <c r="BP245" s="220"/>
      <c r="BQ245" s="239"/>
      <c r="BR245" s="238"/>
      <c r="BS245" s="220"/>
      <c r="BT245" s="239"/>
      <c r="BU245" s="238"/>
      <c r="BV245" s="220"/>
      <c r="BW245" s="239"/>
      <c r="BX245" s="238"/>
      <c r="BY245" s="218"/>
      <c r="BZ245" s="237"/>
      <c r="CB245" s="239"/>
      <c r="CC245" s="238"/>
      <c r="CD245" s="220"/>
      <c r="CE245" s="239"/>
      <c r="CF245" s="238"/>
      <c r="CG245" s="220"/>
      <c r="CH245" s="239"/>
      <c r="CI245" s="238"/>
      <c r="CJ245" s="220"/>
      <c r="CK245" s="239"/>
      <c r="CL245" s="238"/>
      <c r="CM245" s="218"/>
      <c r="CN245" s="237"/>
    </row>
    <row r="246" spans="2:92" ht="86.25" thickBot="1" x14ac:dyDescent="0.25">
      <c r="B246" s="1228"/>
      <c r="C246" s="1241"/>
      <c r="D246" s="1210"/>
      <c r="E246" s="1212"/>
      <c r="F246" s="1201"/>
      <c r="G246" s="335" t="str">
        <f>+'Plan de Accion apoyo transversa'!X44</f>
        <v>Evaluar cumplimiento a los seguimientos y  evaluaciones al control interno, contemplados en el Plan Anual de Auditorías</v>
      </c>
      <c r="H246" s="231" t="str">
        <f>+'Plan de Accion apoyo transversa'!AK44</f>
        <v># de seguimientos y evaluaciones de control interno realizadas en el trimestre 
Indicador Variable acumulado y de eficacia</v>
      </c>
      <c r="J246" s="234">
        <f>+'Plan de Accion apoyo transversa'!AT44</f>
        <v>0</v>
      </c>
      <c r="K246" s="503">
        <f>+'Plan de Accion apoyo transversa'!CE44</f>
        <v>0</v>
      </c>
      <c r="L246" s="503">
        <f>IF(K246&gt;100%,100%,K246)</f>
        <v>0</v>
      </c>
      <c r="M246" s="503">
        <f>+'Plan de Accion apoyo transversa'!AX44</f>
        <v>0</v>
      </c>
      <c r="N246" s="503">
        <f t="shared" si="226"/>
        <v>0</v>
      </c>
      <c r="O246" s="505">
        <f t="shared" si="227"/>
        <v>0</v>
      </c>
      <c r="P246" s="229"/>
      <c r="Q246" s="234">
        <f>+'Plan de Accion apoyo transversa'!BD44</f>
        <v>2</v>
      </c>
      <c r="R246" s="266">
        <f>+'Plan de Accion apoyo transversa'!CG44</f>
        <v>1</v>
      </c>
      <c r="S246" s="228">
        <f t="shared" si="228"/>
        <v>1</v>
      </c>
      <c r="T246" s="324">
        <f>+'Plan de Accion apoyo transversa'!BH44</f>
        <v>0.15384615384615385</v>
      </c>
      <c r="U246" s="324">
        <f t="shared" si="229"/>
        <v>0.15384615384615385</v>
      </c>
      <c r="V246" s="227">
        <f t="shared" si="230"/>
        <v>0.15384615384615385</v>
      </c>
      <c r="W246" s="229"/>
      <c r="X246" s="234">
        <f>+'Plan de Accion apoyo transversa'!BN44</f>
        <v>0</v>
      </c>
      <c r="Y246" s="266">
        <f>+'Plan de Accion apoyo transversa'!CI44</f>
        <v>0</v>
      </c>
      <c r="Z246" s="228">
        <f t="shared" si="231"/>
        <v>0</v>
      </c>
      <c r="AA246" s="233">
        <f>+'Plan de Accion apoyo transversa'!BR44</f>
        <v>0.15384615384615385</v>
      </c>
      <c r="AB246" s="233">
        <f t="shared" si="232"/>
        <v>0.15384615384615385</v>
      </c>
      <c r="AC246" s="232">
        <f t="shared" si="233"/>
        <v>0.15384615384615385</v>
      </c>
      <c r="AD246" s="229"/>
      <c r="AE246" s="234">
        <f>+'Plan de Accion apoyo transversa'!BX44</f>
        <v>0</v>
      </c>
      <c r="AF246" s="266">
        <f>+'Plan de Accion apoyo transversa'!CK44</f>
        <v>0</v>
      </c>
      <c r="AG246" s="228">
        <f t="shared" si="234"/>
        <v>0</v>
      </c>
      <c r="AH246" s="266">
        <f>+'Plan de Accion apoyo transversa'!CB44</f>
        <v>0.15384615384615385</v>
      </c>
      <c r="AI246" s="227">
        <f t="shared" si="235"/>
        <v>0.15384615384615385</v>
      </c>
      <c r="AJ246" s="237"/>
      <c r="AL246" s="239"/>
      <c r="AM246" s="238"/>
      <c r="AN246" s="220"/>
      <c r="AO246" s="239"/>
      <c r="AP246" s="238"/>
      <c r="AQ246" s="220"/>
      <c r="AR246" s="239"/>
      <c r="AS246" s="238"/>
      <c r="AT246" s="220"/>
      <c r="AU246" s="239"/>
      <c r="AV246" s="238"/>
      <c r="AW246" s="218"/>
      <c r="AX246" s="237"/>
      <c r="AZ246" s="239"/>
      <c r="BA246" s="238"/>
      <c r="BB246" s="220"/>
      <c r="BC246" s="239"/>
      <c r="BD246" s="238"/>
      <c r="BE246" s="220"/>
      <c r="BF246" s="239"/>
      <c r="BG246" s="238"/>
      <c r="BH246" s="220"/>
      <c r="BI246" s="239"/>
      <c r="BJ246" s="238"/>
      <c r="BK246" s="218"/>
      <c r="BL246" s="237"/>
      <c r="BN246" s="239"/>
      <c r="BO246" s="238"/>
      <c r="BP246" s="220"/>
      <c r="BQ246" s="239"/>
      <c r="BR246" s="238"/>
      <c r="BS246" s="220"/>
      <c r="BT246" s="239"/>
      <c r="BU246" s="238"/>
      <c r="BV246" s="220"/>
      <c r="BW246" s="239"/>
      <c r="BX246" s="238"/>
      <c r="BY246" s="218"/>
      <c r="BZ246" s="237"/>
      <c r="CB246" s="239"/>
      <c r="CC246" s="238"/>
      <c r="CD246" s="220"/>
      <c r="CE246" s="239"/>
      <c r="CF246" s="238"/>
      <c r="CG246" s="220"/>
      <c r="CH246" s="239"/>
      <c r="CI246" s="238"/>
      <c r="CJ246" s="220"/>
      <c r="CK246" s="239"/>
      <c r="CL246" s="238"/>
      <c r="CM246" s="218"/>
      <c r="CN246" s="237"/>
    </row>
    <row r="247" spans="2:92" ht="72" thickBot="1" x14ac:dyDescent="0.25">
      <c r="B247" s="1228"/>
      <c r="C247" s="1241"/>
      <c r="D247" s="1210"/>
      <c r="E247" s="1212"/>
      <c r="F247" s="1201"/>
      <c r="G247" s="335" t="str">
        <f>+'Plan de Accion apoyo transversa'!X45</f>
        <v>Entrega de Informes de Evaluación y Seguimiento de los Requerimientos Legales Internos en el marco de la normatividad vigente</v>
      </c>
      <c r="H247" s="231" t="str">
        <f>+'Plan de Accion apoyo transversa'!AK45</f>
        <v># de Informes Legales Internos presentados en cada trimestre Indicador Variable acumulado y de eficacia</v>
      </c>
      <c r="J247" s="234">
        <f>+'Plan de Accion apoyo transversa'!AT45</f>
        <v>5</v>
      </c>
      <c r="K247" s="503">
        <f>+'Plan de Accion apoyo transversa'!CE45</f>
        <v>1</v>
      </c>
      <c r="L247" s="503">
        <f>IF(K247&gt;100%,100%,K247)</f>
        <v>1</v>
      </c>
      <c r="M247" s="503">
        <f>+'Plan de Accion apoyo transversa'!AX45</f>
        <v>0.25</v>
      </c>
      <c r="N247" s="503">
        <f t="shared" si="226"/>
        <v>0.25</v>
      </c>
      <c r="O247" s="505">
        <f t="shared" si="227"/>
        <v>0.25</v>
      </c>
      <c r="P247" s="229"/>
      <c r="Q247" s="234">
        <f>+'Plan de Accion apoyo transversa'!BD45</f>
        <v>6</v>
      </c>
      <c r="R247" s="266">
        <f>+'Plan de Accion apoyo transversa'!CG45</f>
        <v>1</v>
      </c>
      <c r="S247" s="228">
        <f t="shared" si="228"/>
        <v>1</v>
      </c>
      <c r="T247" s="324">
        <f>+'Plan de Accion apoyo transversa'!BH45</f>
        <v>0.55000000000000004</v>
      </c>
      <c r="U247" s="324">
        <f t="shared" si="229"/>
        <v>0.55000000000000004</v>
      </c>
      <c r="V247" s="227">
        <f t="shared" si="230"/>
        <v>0.55000000000000004</v>
      </c>
      <c r="W247" s="229"/>
      <c r="X247" s="234">
        <f>+'Plan de Accion apoyo transversa'!BN45</f>
        <v>0</v>
      </c>
      <c r="Y247" s="266">
        <f>+'Plan de Accion apoyo transversa'!CI45</f>
        <v>0</v>
      </c>
      <c r="Z247" s="228">
        <f t="shared" si="231"/>
        <v>0</v>
      </c>
      <c r="AA247" s="233">
        <f>+'Plan de Accion apoyo transversa'!BR45</f>
        <v>0.55000000000000004</v>
      </c>
      <c r="AB247" s="233">
        <f t="shared" si="232"/>
        <v>0.55000000000000004</v>
      </c>
      <c r="AC247" s="232">
        <f t="shared" si="233"/>
        <v>0.55000000000000004</v>
      </c>
      <c r="AD247" s="229"/>
      <c r="AE247" s="234">
        <f>+'Plan de Accion apoyo transversa'!BX45</f>
        <v>0</v>
      </c>
      <c r="AF247" s="266">
        <f>+'Plan de Accion apoyo transversa'!CK45</f>
        <v>0</v>
      </c>
      <c r="AG247" s="228">
        <f t="shared" si="234"/>
        <v>0</v>
      </c>
      <c r="AH247" s="266">
        <f>+'Plan de Accion apoyo transversa'!CB45</f>
        <v>0.55000000000000004</v>
      </c>
      <c r="AI247" s="227">
        <f t="shared" si="235"/>
        <v>0.55000000000000004</v>
      </c>
      <c r="AJ247" s="237"/>
      <c r="AL247" s="239"/>
      <c r="AM247" s="238"/>
      <c r="AN247" s="220"/>
      <c r="AO247" s="239"/>
      <c r="AP247" s="238"/>
      <c r="AQ247" s="220"/>
      <c r="AR247" s="239"/>
      <c r="AS247" s="238"/>
      <c r="AT247" s="220"/>
      <c r="AU247" s="239"/>
      <c r="AV247" s="238"/>
      <c r="AW247" s="218"/>
      <c r="AX247" s="237"/>
      <c r="AZ247" s="239"/>
      <c r="BA247" s="238"/>
      <c r="BB247" s="220"/>
      <c r="BC247" s="239"/>
      <c r="BD247" s="238"/>
      <c r="BE247" s="220"/>
      <c r="BF247" s="239"/>
      <c r="BG247" s="238"/>
      <c r="BH247" s="220"/>
      <c r="BI247" s="239"/>
      <c r="BJ247" s="238"/>
      <c r="BK247" s="218"/>
      <c r="BL247" s="237"/>
      <c r="BN247" s="239"/>
      <c r="BO247" s="238"/>
      <c r="BP247" s="220"/>
      <c r="BQ247" s="239"/>
      <c r="BR247" s="238"/>
      <c r="BS247" s="220"/>
      <c r="BT247" s="239"/>
      <c r="BU247" s="238"/>
      <c r="BV247" s="220"/>
      <c r="BW247" s="239"/>
      <c r="BX247" s="238"/>
      <c r="BY247" s="218"/>
      <c r="BZ247" s="237"/>
      <c r="CB247" s="239"/>
      <c r="CC247" s="238"/>
      <c r="CD247" s="220"/>
      <c r="CE247" s="239"/>
      <c r="CF247" s="238"/>
      <c r="CG247" s="220"/>
      <c r="CH247" s="239"/>
      <c r="CI247" s="238"/>
      <c r="CJ247" s="220"/>
      <c r="CK247" s="239"/>
      <c r="CL247" s="238"/>
      <c r="CM247" s="218"/>
      <c r="CN247" s="237"/>
    </row>
    <row r="248" spans="2:92" ht="57.75" thickBot="1" x14ac:dyDescent="0.25">
      <c r="B248" s="1228"/>
      <c r="C248" s="1241"/>
      <c r="D248" s="1210"/>
      <c r="E248" s="1212"/>
      <c r="F248" s="1201"/>
      <c r="G248" s="335" t="str">
        <f>+'Plan de Accion apoyo transversa'!X47</f>
        <v>Seguimientos al Plan de Mejoramiento suscrito con la CGR</v>
      </c>
      <c r="H248" s="231" t="str">
        <f>+'Plan de Accion apoyo transversa'!AK47</f>
        <v># de seguimientos realizados según normatividad vigente
Indicador acumulado y de eficacia</v>
      </c>
      <c r="J248" s="234">
        <f>+'Plan de Accion apoyo transversa'!AT47</f>
        <v>1</v>
      </c>
      <c r="K248" s="503">
        <f>+'Plan de Accion apoyo transversa'!CE47</f>
        <v>1</v>
      </c>
      <c r="L248" s="503">
        <f>IF(K248&gt;100%,100%,K248)</f>
        <v>1</v>
      </c>
      <c r="M248" s="503">
        <f>+'Plan de Accion apoyo transversa'!AX47</f>
        <v>0.5</v>
      </c>
      <c r="N248" s="503">
        <f t="shared" si="226"/>
        <v>0.5</v>
      </c>
      <c r="O248" s="505">
        <f t="shared" si="227"/>
        <v>0.5</v>
      </c>
      <c r="P248" s="229"/>
      <c r="Q248" s="234">
        <f>+'Plan de Accion apoyo transversa'!BD47</f>
        <v>0</v>
      </c>
      <c r="R248" s="266" t="str">
        <f>+'Plan de Accion apoyo transversa'!CG47</f>
        <v>No Prog ni Ejec</v>
      </c>
      <c r="S248" s="228" t="s">
        <v>204</v>
      </c>
      <c r="T248" s="324">
        <f>+'Plan de Accion apoyo transversa'!BH47</f>
        <v>0.5</v>
      </c>
      <c r="U248" s="324">
        <f t="shared" si="229"/>
        <v>0.5</v>
      </c>
      <c r="V248" s="227">
        <f t="shared" si="230"/>
        <v>0.5</v>
      </c>
      <c r="W248" s="229"/>
      <c r="X248" s="234">
        <f>+'Plan de Accion apoyo transversa'!BN47</f>
        <v>0</v>
      </c>
      <c r="Y248" s="266">
        <f>+'Plan de Accion apoyo transversa'!CI47</f>
        <v>0</v>
      </c>
      <c r="Z248" s="228">
        <f t="shared" si="231"/>
        <v>0</v>
      </c>
      <c r="AA248" s="233">
        <f>+'Plan de Accion apoyo transversa'!BR47</f>
        <v>0.5</v>
      </c>
      <c r="AB248" s="233">
        <f t="shared" si="232"/>
        <v>0.5</v>
      </c>
      <c r="AC248" s="232">
        <f t="shared" si="233"/>
        <v>0.5</v>
      </c>
      <c r="AD248" s="229"/>
      <c r="AE248" s="234">
        <f>+'Plan de Accion apoyo transversa'!BX47</f>
        <v>0</v>
      </c>
      <c r="AF248" s="266" t="str">
        <f>+'Plan de Accion apoyo transversa'!CK47</f>
        <v>No Prog ni Ejec</v>
      </c>
      <c r="AG248" s="228" t="s">
        <v>204</v>
      </c>
      <c r="AH248" s="266">
        <f>+'Plan de Accion apoyo transversa'!CB47</f>
        <v>0.5</v>
      </c>
      <c r="AI248" s="227">
        <f t="shared" si="235"/>
        <v>0.5</v>
      </c>
      <c r="AJ248" s="237"/>
      <c r="AL248" s="239"/>
      <c r="AM248" s="238"/>
      <c r="AN248" s="220"/>
      <c r="AO248" s="239"/>
      <c r="AP248" s="238"/>
      <c r="AQ248" s="220"/>
      <c r="AR248" s="239"/>
      <c r="AS248" s="238"/>
      <c r="AT248" s="220"/>
      <c r="AU248" s="239"/>
      <c r="AV248" s="238"/>
      <c r="AW248" s="218"/>
      <c r="AX248" s="237"/>
      <c r="AZ248" s="239"/>
      <c r="BA248" s="238"/>
      <c r="BB248" s="220"/>
      <c r="BC248" s="239"/>
      <c r="BD248" s="238"/>
      <c r="BE248" s="220"/>
      <c r="BF248" s="239"/>
      <c r="BG248" s="238"/>
      <c r="BH248" s="220"/>
      <c r="BI248" s="239"/>
      <c r="BJ248" s="238"/>
      <c r="BK248" s="218"/>
      <c r="BL248" s="237"/>
      <c r="BN248" s="239"/>
      <c r="BO248" s="238"/>
      <c r="BP248" s="220"/>
      <c r="BQ248" s="239"/>
      <c r="BR248" s="238"/>
      <c r="BS248" s="220"/>
      <c r="BT248" s="239"/>
      <c r="BU248" s="238"/>
      <c r="BV248" s="220"/>
      <c r="BW248" s="239"/>
      <c r="BX248" s="238"/>
      <c r="BY248" s="218"/>
      <c r="BZ248" s="237"/>
      <c r="CB248" s="239"/>
      <c r="CC248" s="238"/>
      <c r="CD248" s="220"/>
      <c r="CE248" s="239"/>
      <c r="CF248" s="238"/>
      <c r="CG248" s="220"/>
      <c r="CH248" s="239"/>
      <c r="CI248" s="238"/>
      <c r="CJ248" s="220"/>
      <c r="CK248" s="239"/>
      <c r="CL248" s="238"/>
      <c r="CM248" s="218"/>
      <c r="CN248" s="237"/>
    </row>
    <row r="249" spans="2:92" ht="100.5" thickBot="1" x14ac:dyDescent="0.25">
      <c r="B249" s="1228"/>
      <c r="C249" s="1241"/>
      <c r="D249" s="1210"/>
      <c r="E249" s="1212"/>
      <c r="F249" s="1202" t="s">
        <v>336</v>
      </c>
      <c r="G249" s="335" t="str">
        <f>+'Plan de Accion apoyo transversa'!X49</f>
        <v>Reuniones de autocontrol y seguimiento a  los procesos que evidencien monitoreo a los riesgos, indicadores, planes de mejoramiento, manuales y documentos asociados</v>
      </c>
      <c r="H249" s="231" t="str">
        <f>+'Plan de Accion apoyo transversa'!AK49</f>
        <v># reuniones realizadas</v>
      </c>
      <c r="J249" s="234">
        <f>+'Plan de Accion apoyo transversa'!AT49</f>
        <v>0</v>
      </c>
      <c r="K249" s="503" t="str">
        <f>+'Plan de Accion apoyo transversa'!CE49</f>
        <v>No Prog ni Ejec</v>
      </c>
      <c r="L249" s="503" t="s">
        <v>204</v>
      </c>
      <c r="M249" s="503">
        <f>+'Plan de Accion apoyo transversa'!AX49</f>
        <v>0</v>
      </c>
      <c r="N249" s="503">
        <f t="shared" si="226"/>
        <v>0</v>
      </c>
      <c r="O249" s="505" t="s">
        <v>204</v>
      </c>
      <c r="P249" s="229"/>
      <c r="Q249" s="234">
        <f>+'Plan de Accion apoyo transversa'!BD49</f>
        <v>1</v>
      </c>
      <c r="R249" s="266">
        <f>+'Plan de Accion apoyo transversa'!CG49</f>
        <v>1</v>
      </c>
      <c r="S249" s="228">
        <f t="shared" si="228"/>
        <v>1</v>
      </c>
      <c r="T249" s="324">
        <f>+'Plan de Accion apoyo transversa'!BH49</f>
        <v>0.33333333333333331</v>
      </c>
      <c r="U249" s="324">
        <f t="shared" si="229"/>
        <v>0.33333333333333331</v>
      </c>
      <c r="V249" s="227">
        <f t="shared" si="230"/>
        <v>0.33333333333333331</v>
      </c>
      <c r="W249" s="229"/>
      <c r="X249" s="234">
        <f>+'Plan de Accion apoyo transversa'!BN49</f>
        <v>0</v>
      </c>
      <c r="Y249" s="266">
        <f>+'Plan de Accion apoyo transversa'!CI49</f>
        <v>0</v>
      </c>
      <c r="Z249" s="228">
        <f t="shared" si="231"/>
        <v>0</v>
      </c>
      <c r="AA249" s="233">
        <f>+'Plan de Accion apoyo transversa'!BR49</f>
        <v>0.33333333333333331</v>
      </c>
      <c r="AB249" s="233">
        <f t="shared" si="232"/>
        <v>0.33333333333333331</v>
      </c>
      <c r="AC249" s="232">
        <f t="shared" si="233"/>
        <v>0.33333333333333331</v>
      </c>
      <c r="AD249" s="229"/>
      <c r="AE249" s="234">
        <f>+'Plan de Accion apoyo transversa'!BX49</f>
        <v>0</v>
      </c>
      <c r="AF249" s="266">
        <f>+'Plan de Accion apoyo transversa'!CK49</f>
        <v>0</v>
      </c>
      <c r="AG249" s="228">
        <f t="shared" si="234"/>
        <v>0</v>
      </c>
      <c r="AH249" s="266">
        <f>+'Plan de Accion apoyo transversa'!CB49</f>
        <v>0.33333333333333331</v>
      </c>
      <c r="AI249" s="227">
        <f t="shared" si="235"/>
        <v>0.33333333333333331</v>
      </c>
      <c r="AJ249" s="237"/>
      <c r="AL249" s="239"/>
      <c r="AM249" s="238"/>
      <c r="AN249" s="220"/>
      <c r="AO249" s="239"/>
      <c r="AP249" s="238"/>
      <c r="AQ249" s="220"/>
      <c r="AR249" s="239"/>
      <c r="AS249" s="238"/>
      <c r="AT249" s="220"/>
      <c r="AU249" s="239"/>
      <c r="AV249" s="238"/>
      <c r="AW249" s="218"/>
      <c r="AX249" s="237"/>
      <c r="AZ249" s="239"/>
      <c r="BA249" s="238"/>
      <c r="BB249" s="220"/>
      <c r="BC249" s="239"/>
      <c r="BD249" s="238"/>
      <c r="BE249" s="220"/>
      <c r="BF249" s="239"/>
      <c r="BG249" s="238"/>
      <c r="BH249" s="220"/>
      <c r="BI249" s="239"/>
      <c r="BJ249" s="238"/>
      <c r="BK249" s="218"/>
      <c r="BL249" s="237"/>
      <c r="BN249" s="239"/>
      <c r="BO249" s="238"/>
      <c r="BP249" s="220"/>
      <c r="BQ249" s="239"/>
      <c r="BR249" s="238"/>
      <c r="BS249" s="220"/>
      <c r="BT249" s="239"/>
      <c r="BU249" s="238"/>
      <c r="BV249" s="220"/>
      <c r="BW249" s="239"/>
      <c r="BX249" s="238"/>
      <c r="BY249" s="218"/>
      <c r="BZ249" s="237"/>
      <c r="CB249" s="239"/>
      <c r="CC249" s="238"/>
      <c r="CD249" s="220"/>
      <c r="CE249" s="239"/>
      <c r="CF249" s="238"/>
      <c r="CG249" s="220"/>
      <c r="CH249" s="239"/>
      <c r="CI249" s="238"/>
      <c r="CJ249" s="220"/>
      <c r="CK249" s="239"/>
      <c r="CL249" s="238"/>
      <c r="CM249" s="218"/>
      <c r="CN249" s="237"/>
    </row>
    <row r="250" spans="2:92" ht="57.75" thickBot="1" x14ac:dyDescent="0.25">
      <c r="B250" s="1228"/>
      <c r="C250" s="1241"/>
      <c r="D250" s="1203"/>
      <c r="E250" s="1213"/>
      <c r="F250" s="1203"/>
      <c r="G250" s="335" t="str">
        <f>+'Plan de Accion apoyo transversa'!X164</f>
        <v>Informes de seguimiento a los Mapas de Riesgos con corte 30 de abril, 31 de agosto y 31 de diciembre</v>
      </c>
      <c r="H250" s="231" t="str">
        <f>+'Plan de Accion apoyo transversa'!AK164</f>
        <v># Informes de seguimiento a los Mapas de Riesgos</v>
      </c>
      <c r="J250" s="234">
        <f>+'Plan de Accion apoyo transversa'!AT164</f>
        <v>1</v>
      </c>
      <c r="K250" s="503">
        <f>+'Plan de Accion apoyo transversa'!CE164</f>
        <v>1</v>
      </c>
      <c r="L250" s="503">
        <f>IF(K250&gt;100%,100%,K250)</f>
        <v>1</v>
      </c>
      <c r="M250" s="503">
        <f>+'Plan de Accion apoyo transversa'!AX164</f>
        <v>0.33333333333333331</v>
      </c>
      <c r="N250" s="503">
        <f t="shared" si="226"/>
        <v>0.33333333333333331</v>
      </c>
      <c r="O250" s="505">
        <f t="shared" si="227"/>
        <v>0.33333333333333331</v>
      </c>
      <c r="P250" s="229"/>
      <c r="Q250" s="234">
        <f>+'Plan de Accion apoyo transversa'!BD164</f>
        <v>1</v>
      </c>
      <c r="R250" s="266">
        <f>+'Plan de Accion apoyo transversa'!CG164</f>
        <v>1</v>
      </c>
      <c r="S250" s="228">
        <f>IF(R250&gt;100%,100%,R250)</f>
        <v>1</v>
      </c>
      <c r="T250" s="324">
        <f>+'Plan de Accion apoyo transversa'!BH164</f>
        <v>0.66666666666666663</v>
      </c>
      <c r="U250" s="324">
        <f>IF(T250&gt;100%,100%,T250)</f>
        <v>0.66666666666666663</v>
      </c>
      <c r="V250" s="227">
        <f>+U250</f>
        <v>0.66666666666666663</v>
      </c>
      <c r="W250" s="229"/>
      <c r="X250" s="234">
        <f>+'Plan de Accion apoyo transversa'!BN164</f>
        <v>0</v>
      </c>
      <c r="Y250" s="266">
        <f>+'Plan de Accion apoyo transversa'!CI164</f>
        <v>0</v>
      </c>
      <c r="Z250" s="228">
        <f>IF(Y250&gt;100%,100%,Y250)</f>
        <v>0</v>
      </c>
      <c r="AA250" s="233">
        <f>+'Plan de Accion apoyo transversa'!BR164</f>
        <v>0.66666666666666663</v>
      </c>
      <c r="AB250" s="233">
        <f>IF(AA250&gt;100%,100%,AA250)</f>
        <v>0.66666666666666663</v>
      </c>
      <c r="AC250" s="232">
        <f>+AB250</f>
        <v>0.66666666666666663</v>
      </c>
      <c r="AD250" s="229"/>
      <c r="AE250" s="234">
        <f>+'Plan de Accion apoyo transversa'!BX164</f>
        <v>0</v>
      </c>
      <c r="AF250" s="266" t="str">
        <f>+'Plan de Accion apoyo transversa'!CK164</f>
        <v>No Prog ni Ejec</v>
      </c>
      <c r="AG250" s="228" t="s">
        <v>204</v>
      </c>
      <c r="AH250" s="266">
        <f>+'Plan de Accion apoyo transversa'!CB164</f>
        <v>0.66666666666666663</v>
      </c>
      <c r="AI250" s="227">
        <f>IF(AH250&gt;100%,100%,AH250)</f>
        <v>0.66666666666666663</v>
      </c>
      <c r="AJ250" s="237"/>
      <c r="AL250" s="331"/>
      <c r="AM250" s="238"/>
      <c r="AN250" s="220"/>
      <c r="AO250" s="331"/>
      <c r="AP250" s="238"/>
      <c r="AQ250" s="220"/>
      <c r="AR250" s="331"/>
      <c r="AS250" s="238"/>
      <c r="AT250" s="220"/>
      <c r="AU250" s="331"/>
      <c r="AV250" s="238"/>
      <c r="AW250" s="218"/>
      <c r="AX250" s="237"/>
      <c r="AZ250" s="331"/>
      <c r="BA250" s="238"/>
      <c r="BB250" s="220"/>
      <c r="BC250" s="331"/>
      <c r="BD250" s="238"/>
      <c r="BE250" s="220"/>
      <c r="BF250" s="331"/>
      <c r="BG250" s="238"/>
      <c r="BH250" s="220"/>
      <c r="BI250" s="331"/>
      <c r="BJ250" s="238"/>
      <c r="BK250" s="218"/>
      <c r="BL250" s="237"/>
      <c r="BN250" s="331"/>
      <c r="BO250" s="238"/>
      <c r="BP250" s="220"/>
      <c r="BQ250" s="331"/>
      <c r="BR250" s="238"/>
      <c r="BS250" s="220"/>
      <c r="BT250" s="331"/>
      <c r="BU250" s="238"/>
      <c r="BV250" s="220"/>
      <c r="BW250" s="331"/>
      <c r="BX250" s="238"/>
      <c r="BY250" s="218"/>
      <c r="BZ250" s="237"/>
      <c r="CB250" s="331"/>
      <c r="CC250" s="238"/>
      <c r="CD250" s="220"/>
      <c r="CE250" s="331"/>
      <c r="CF250" s="238"/>
      <c r="CG250" s="220"/>
      <c r="CH250" s="331"/>
      <c r="CI250" s="238"/>
      <c r="CJ250" s="220"/>
      <c r="CK250" s="331"/>
      <c r="CL250" s="238"/>
      <c r="CM250" s="218"/>
      <c r="CN250" s="237"/>
    </row>
    <row r="251" spans="2:92" ht="29.25" thickBot="1" x14ac:dyDescent="0.25">
      <c r="B251" s="1228"/>
      <c r="C251" s="1241"/>
      <c r="D251" s="1202" t="s">
        <v>204</v>
      </c>
      <c r="E251" s="1211" t="s">
        <v>14</v>
      </c>
      <c r="F251" s="1202" t="s">
        <v>337</v>
      </c>
      <c r="G251" s="335" t="str">
        <f>+'Plan de Accion apoyo transversa'!X50</f>
        <v xml:space="preserve">Archivo documental transferido al custodio final </v>
      </c>
      <c r="H251" s="231" t="str">
        <f>+'Plan de Accion apoyo transversa'!AK50</f>
        <v># Cajas Transferidas por trimestre</v>
      </c>
      <c r="J251" s="234">
        <f>+'Plan de Accion apoyo transversa'!AT50</f>
        <v>84</v>
      </c>
      <c r="K251" s="503">
        <f>+'Plan de Accion apoyo transversa'!CE50</f>
        <v>0.84</v>
      </c>
      <c r="L251" s="503">
        <f>IF(K251&gt;100%,100%,K251)</f>
        <v>0.84</v>
      </c>
      <c r="M251" s="503">
        <f>+'Plan de Accion apoyo transversa'!AX50</f>
        <v>0.10357583230579531</v>
      </c>
      <c r="N251" s="503">
        <f t="shared" si="226"/>
        <v>0.10357583230579531</v>
      </c>
      <c r="O251" s="505">
        <f t="shared" si="227"/>
        <v>0.10357583230579531</v>
      </c>
      <c r="P251" s="229"/>
      <c r="Q251" s="234">
        <f>+'Plan de Accion apoyo transversa'!BD50</f>
        <v>300</v>
      </c>
      <c r="R251" s="266">
        <f>+'Plan de Accion apoyo transversa'!CG50</f>
        <v>1</v>
      </c>
      <c r="S251" s="228">
        <f t="shared" si="228"/>
        <v>1</v>
      </c>
      <c r="T251" s="324">
        <f>+'Plan de Accion apoyo transversa'!BH50</f>
        <v>0.47348951911220716</v>
      </c>
      <c r="U251" s="324">
        <f t="shared" si="229"/>
        <v>0.47348951911220716</v>
      </c>
      <c r="V251" s="227">
        <f t="shared" si="230"/>
        <v>0.47348951911220716</v>
      </c>
      <c r="W251" s="229"/>
      <c r="X251" s="234">
        <f>+'Plan de Accion apoyo transversa'!BN50</f>
        <v>0</v>
      </c>
      <c r="Y251" s="266">
        <f>+'Plan de Accion apoyo transversa'!CI50</f>
        <v>0</v>
      </c>
      <c r="Z251" s="228">
        <f t="shared" si="231"/>
        <v>0</v>
      </c>
      <c r="AA251" s="233">
        <f>+'Plan de Accion apoyo transversa'!BR50</f>
        <v>0.47348951911220716</v>
      </c>
      <c r="AB251" s="233">
        <f t="shared" si="232"/>
        <v>0.47348951911220716</v>
      </c>
      <c r="AC251" s="232">
        <f t="shared" si="233"/>
        <v>0.47348951911220716</v>
      </c>
      <c r="AD251" s="229"/>
      <c r="AE251" s="234">
        <f>+'Plan de Accion apoyo transversa'!BX50</f>
        <v>0</v>
      </c>
      <c r="AF251" s="266">
        <f>+'Plan de Accion apoyo transversa'!CK50</f>
        <v>0</v>
      </c>
      <c r="AG251" s="228">
        <f t="shared" si="234"/>
        <v>0</v>
      </c>
      <c r="AH251" s="266">
        <f>+'Plan de Accion apoyo transversa'!CB50</f>
        <v>0.47348951911220716</v>
      </c>
      <c r="AI251" s="227">
        <f t="shared" si="235"/>
        <v>0.47348951911220716</v>
      </c>
      <c r="AJ251" s="237"/>
      <c r="AL251" s="239"/>
      <c r="AM251" s="238"/>
      <c r="AN251" s="220"/>
      <c r="AO251" s="239"/>
      <c r="AP251" s="238"/>
      <c r="AQ251" s="220"/>
      <c r="AR251" s="239"/>
      <c r="AS251" s="238"/>
      <c r="AT251" s="220"/>
      <c r="AU251" s="239"/>
      <c r="AV251" s="238"/>
      <c r="AW251" s="218"/>
      <c r="AX251" s="237"/>
      <c r="AZ251" s="239"/>
      <c r="BA251" s="238"/>
      <c r="BB251" s="220"/>
      <c r="BC251" s="239"/>
      <c r="BD251" s="238"/>
      <c r="BE251" s="220"/>
      <c r="BF251" s="239"/>
      <c r="BG251" s="238"/>
      <c r="BH251" s="220"/>
      <c r="BI251" s="239"/>
      <c r="BJ251" s="238"/>
      <c r="BK251" s="218"/>
      <c r="BL251" s="237"/>
      <c r="BN251" s="239"/>
      <c r="BO251" s="238"/>
      <c r="BP251" s="220"/>
      <c r="BQ251" s="239"/>
      <c r="BR251" s="238"/>
      <c r="BS251" s="220"/>
      <c r="BT251" s="239"/>
      <c r="BU251" s="238"/>
      <c r="BV251" s="220"/>
      <c r="BW251" s="239"/>
      <c r="BX251" s="238"/>
      <c r="BY251" s="218"/>
      <c r="BZ251" s="237"/>
      <c r="CB251" s="239"/>
      <c r="CC251" s="238"/>
      <c r="CD251" s="220"/>
      <c r="CE251" s="239"/>
      <c r="CF251" s="238"/>
      <c r="CG251" s="220"/>
      <c r="CH251" s="239"/>
      <c r="CI251" s="238"/>
      <c r="CJ251" s="220"/>
      <c r="CK251" s="239"/>
      <c r="CL251" s="238"/>
      <c r="CM251" s="218"/>
      <c r="CN251" s="237"/>
    </row>
    <row r="252" spans="2:92" ht="57.75" thickBot="1" x14ac:dyDescent="0.25">
      <c r="B252" s="1228"/>
      <c r="C252" s="1241"/>
      <c r="D252" s="1210"/>
      <c r="E252" s="1212"/>
      <c r="F252" s="1210"/>
      <c r="G252" s="335" t="str">
        <f>+'Plan de Accion apoyo transversa'!X51</f>
        <v>Tablas de Retención Documental - TRD actualizadas y aprobadas</v>
      </c>
      <c r="H252" s="231" t="str">
        <f>+'Plan de Accion apoyo transversa'!AK51</f>
        <v># TRD actualizadas y aprobadas / # de TRD generadas y aprobadas en la vigencia 2018</v>
      </c>
      <c r="J252" s="230">
        <f>+'Plan de Accion apoyo transversa'!AT51</f>
        <v>0</v>
      </c>
      <c r="K252" s="503" t="str">
        <f>+'Plan de Accion apoyo transversa'!CE51</f>
        <v>No Prog ni Ejec</v>
      </c>
      <c r="L252" s="503" t="s">
        <v>204</v>
      </c>
      <c r="M252" s="503">
        <f>+'Plan de Accion apoyo transversa'!AX51</f>
        <v>0</v>
      </c>
      <c r="N252" s="503">
        <f t="shared" si="226"/>
        <v>0</v>
      </c>
      <c r="O252" s="505" t="s">
        <v>204</v>
      </c>
      <c r="P252" s="229"/>
      <c r="Q252" s="230">
        <f>+'Plan de Accion apoyo transversa'!BD51</f>
        <v>0</v>
      </c>
      <c r="R252" s="266" t="str">
        <f>+'Plan de Accion apoyo transversa'!CG51</f>
        <v>No Prog ni Ejec</v>
      </c>
      <c r="S252" s="228" t="s">
        <v>204</v>
      </c>
      <c r="T252" s="324">
        <f>+'Plan de Accion apoyo transversa'!BH51</f>
        <v>0</v>
      </c>
      <c r="U252" s="324">
        <f t="shared" si="229"/>
        <v>0</v>
      </c>
      <c r="V252" s="227" t="s">
        <v>204</v>
      </c>
      <c r="W252" s="229"/>
      <c r="X252" s="230">
        <f>+'Plan de Accion apoyo transversa'!BN51</f>
        <v>0</v>
      </c>
      <c r="Y252" s="266">
        <f>+'Plan de Accion apoyo transversa'!CI51</f>
        <v>0</v>
      </c>
      <c r="Z252" s="228">
        <f t="shared" si="231"/>
        <v>0</v>
      </c>
      <c r="AA252" s="233">
        <f>+'Plan de Accion apoyo transversa'!BR51</f>
        <v>0</v>
      </c>
      <c r="AB252" s="233">
        <f t="shared" si="232"/>
        <v>0</v>
      </c>
      <c r="AC252" s="232">
        <f t="shared" si="233"/>
        <v>0</v>
      </c>
      <c r="AD252" s="229"/>
      <c r="AE252" s="230">
        <f>+'Plan de Accion apoyo transversa'!BX51</f>
        <v>0</v>
      </c>
      <c r="AF252" s="266" t="str">
        <f>+'Plan de Accion apoyo transversa'!CK51</f>
        <v>No Prog ni Ejec</v>
      </c>
      <c r="AG252" s="228" t="s">
        <v>204</v>
      </c>
      <c r="AH252" s="266">
        <f>+'Plan de Accion apoyo transversa'!CB51</f>
        <v>0</v>
      </c>
      <c r="AI252" s="227">
        <f t="shared" si="235"/>
        <v>0</v>
      </c>
      <c r="AJ252" s="237"/>
      <c r="AL252" s="239"/>
      <c r="AM252" s="238"/>
      <c r="AN252" s="220"/>
      <c r="AO252" s="239"/>
      <c r="AP252" s="238"/>
      <c r="AQ252" s="220"/>
      <c r="AR252" s="239"/>
      <c r="AS252" s="238"/>
      <c r="AT252" s="220"/>
      <c r="AU252" s="239"/>
      <c r="AV252" s="238"/>
      <c r="AW252" s="218"/>
      <c r="AX252" s="237"/>
      <c r="AZ252" s="239"/>
      <c r="BA252" s="238"/>
      <c r="BB252" s="220"/>
      <c r="BC252" s="239"/>
      <c r="BD252" s="238"/>
      <c r="BE252" s="220"/>
      <c r="BF252" s="239"/>
      <c r="BG252" s="238"/>
      <c r="BH252" s="220"/>
      <c r="BI252" s="239"/>
      <c r="BJ252" s="238"/>
      <c r="BK252" s="218"/>
      <c r="BL252" s="237"/>
      <c r="BN252" s="239"/>
      <c r="BO252" s="238"/>
      <c r="BP252" s="220"/>
      <c r="BQ252" s="239"/>
      <c r="BR252" s="238"/>
      <c r="BS252" s="220"/>
      <c r="BT252" s="239"/>
      <c r="BU252" s="238"/>
      <c r="BV252" s="220"/>
      <c r="BW252" s="239"/>
      <c r="BX252" s="238"/>
      <c r="BY252" s="218"/>
      <c r="BZ252" s="237"/>
      <c r="CB252" s="239"/>
      <c r="CC252" s="238"/>
      <c r="CD252" s="220"/>
      <c r="CE252" s="239"/>
      <c r="CF252" s="238"/>
      <c r="CG252" s="220"/>
      <c r="CH252" s="239"/>
      <c r="CI252" s="238"/>
      <c r="CJ252" s="220"/>
      <c r="CK252" s="239"/>
      <c r="CL252" s="238"/>
      <c r="CM252" s="218"/>
      <c r="CN252" s="237"/>
    </row>
    <row r="253" spans="2:92" ht="57.75" thickBot="1" x14ac:dyDescent="0.25">
      <c r="B253" s="1228"/>
      <c r="C253" s="1241"/>
      <c r="D253" s="1210"/>
      <c r="E253" s="1212"/>
      <c r="F253" s="1210"/>
      <c r="G253" s="335" t="str">
        <f>+'Plan de Accion apoyo transversa'!X52</f>
        <v>Estudios técnicos, de mercado y económicos para la valoración documental</v>
      </c>
      <c r="H253" s="231" t="str">
        <f>+'Plan de Accion apoyo transversa'!AK52</f>
        <v># Estudios técnicos, de mercado y económicos para la valoración documental realizados</v>
      </c>
      <c r="J253" s="234">
        <f>+'Plan de Accion apoyo transversa'!AT52</f>
        <v>0</v>
      </c>
      <c r="K253" s="503" t="str">
        <f>+'Plan de Accion apoyo transversa'!CE52</f>
        <v>No Prog ni Ejec</v>
      </c>
      <c r="L253" s="503" t="s">
        <v>204</v>
      </c>
      <c r="M253" s="503">
        <f>+'Plan de Accion apoyo transversa'!AX52</f>
        <v>0</v>
      </c>
      <c r="N253" s="503">
        <f t="shared" si="226"/>
        <v>0</v>
      </c>
      <c r="O253" s="505" t="s">
        <v>204</v>
      </c>
      <c r="P253" s="229"/>
      <c r="Q253" s="234">
        <f>+'Plan de Accion apoyo transversa'!BD52</f>
        <v>0</v>
      </c>
      <c r="R253" s="266" t="str">
        <f>+'Plan de Accion apoyo transversa'!CG52</f>
        <v>No Prog ni Ejec</v>
      </c>
      <c r="S253" s="228" t="s">
        <v>204</v>
      </c>
      <c r="T253" s="324">
        <f>+'Plan de Accion apoyo transversa'!BH52</f>
        <v>0</v>
      </c>
      <c r="U253" s="324">
        <f t="shared" si="229"/>
        <v>0</v>
      </c>
      <c r="V253" s="227" t="s">
        <v>204</v>
      </c>
      <c r="W253" s="229"/>
      <c r="X253" s="234">
        <f>+'Plan de Accion apoyo transversa'!BN52</f>
        <v>0</v>
      </c>
      <c r="Y253" s="266">
        <f>+'Plan de Accion apoyo transversa'!CI52</f>
        <v>0</v>
      </c>
      <c r="Z253" s="228">
        <f t="shared" si="231"/>
        <v>0</v>
      </c>
      <c r="AA253" s="233">
        <f>+'Plan de Accion apoyo transversa'!BR52</f>
        <v>0</v>
      </c>
      <c r="AB253" s="233">
        <f t="shared" si="232"/>
        <v>0</v>
      </c>
      <c r="AC253" s="232">
        <f t="shared" si="233"/>
        <v>0</v>
      </c>
      <c r="AD253" s="229"/>
      <c r="AE253" s="234">
        <f>+'Plan de Accion apoyo transversa'!BX52</f>
        <v>0</v>
      </c>
      <c r="AF253" s="266" t="str">
        <f>+'Plan de Accion apoyo transversa'!CK52</f>
        <v>No Prog ni Ejec</v>
      </c>
      <c r="AG253" s="228" t="s">
        <v>204</v>
      </c>
      <c r="AH253" s="266">
        <f>+'Plan de Accion apoyo transversa'!CB52</f>
        <v>0</v>
      </c>
      <c r="AI253" s="227">
        <f t="shared" si="235"/>
        <v>0</v>
      </c>
      <c r="AJ253" s="237"/>
      <c r="AL253" s="239"/>
      <c r="AM253" s="238"/>
      <c r="AN253" s="220"/>
      <c r="AO253" s="239"/>
      <c r="AP253" s="238"/>
      <c r="AQ253" s="220"/>
      <c r="AR253" s="239"/>
      <c r="AS253" s="238"/>
      <c r="AT253" s="220"/>
      <c r="AU253" s="239"/>
      <c r="AV253" s="238"/>
      <c r="AW253" s="218"/>
      <c r="AX253" s="237"/>
      <c r="AZ253" s="239"/>
      <c r="BA253" s="238"/>
      <c r="BB253" s="220"/>
      <c r="BC253" s="239"/>
      <c r="BD253" s="238"/>
      <c r="BE253" s="220"/>
      <c r="BF253" s="239"/>
      <c r="BG253" s="238"/>
      <c r="BH253" s="220"/>
      <c r="BI253" s="239"/>
      <c r="BJ253" s="238"/>
      <c r="BK253" s="218"/>
      <c r="BL253" s="237"/>
      <c r="BN253" s="239"/>
      <c r="BO253" s="238"/>
      <c r="BP253" s="220"/>
      <c r="BQ253" s="239"/>
      <c r="BR253" s="238"/>
      <c r="BS253" s="220"/>
      <c r="BT253" s="239"/>
      <c r="BU253" s="238"/>
      <c r="BV253" s="220"/>
      <c r="BW253" s="239"/>
      <c r="BX253" s="238"/>
      <c r="BY253" s="218"/>
      <c r="BZ253" s="237"/>
      <c r="CB253" s="239"/>
      <c r="CC253" s="238"/>
      <c r="CD253" s="220"/>
      <c r="CE253" s="239"/>
      <c r="CF253" s="238"/>
      <c r="CG253" s="220"/>
      <c r="CH253" s="239"/>
      <c r="CI253" s="238"/>
      <c r="CJ253" s="220"/>
      <c r="CK253" s="239"/>
      <c r="CL253" s="238"/>
      <c r="CM253" s="218"/>
      <c r="CN253" s="237"/>
    </row>
    <row r="254" spans="2:92" ht="72" thickBot="1" x14ac:dyDescent="0.25">
      <c r="B254" s="1228"/>
      <c r="C254" s="1241"/>
      <c r="D254" s="1210"/>
      <c r="E254" s="1212"/>
      <c r="F254" s="1203"/>
      <c r="G254" s="335" t="str">
        <f>+'Plan de Accion apoyo transversa'!X53</f>
        <v>Informe de Política de "Cero papel" para aprobación del Comité Institucional de Gestión y Desempeño</v>
      </c>
      <c r="H254" s="231" t="str">
        <f>+'Plan de Accion apoyo transversa'!AK53</f>
        <v># Informes finales de la Política de "Cero papel" para aprobación del Comité Institucional de Gestión y Desempeño</v>
      </c>
      <c r="J254" s="234">
        <f>+'Plan de Accion apoyo transversa'!AT53</f>
        <v>0</v>
      </c>
      <c r="K254" s="503" t="str">
        <f>+'Plan de Accion apoyo transversa'!CE53</f>
        <v>No Prog ni Ejec</v>
      </c>
      <c r="L254" s="503" t="s">
        <v>204</v>
      </c>
      <c r="M254" s="503">
        <f>+'Plan de Accion apoyo transversa'!AX53</f>
        <v>0</v>
      </c>
      <c r="N254" s="503">
        <f t="shared" si="226"/>
        <v>0</v>
      </c>
      <c r="O254" s="505" t="s">
        <v>204</v>
      </c>
      <c r="P254" s="229"/>
      <c r="Q254" s="234">
        <f>+'Plan de Accion apoyo transversa'!BD53</f>
        <v>1</v>
      </c>
      <c r="R254" s="266">
        <f>+'Plan de Accion apoyo transversa'!CG53</f>
        <v>1</v>
      </c>
      <c r="S254" s="228">
        <f t="shared" si="228"/>
        <v>1</v>
      </c>
      <c r="T254" s="324">
        <f>+'Plan de Accion apoyo transversa'!BH53</f>
        <v>1</v>
      </c>
      <c r="U254" s="324">
        <f t="shared" si="229"/>
        <v>1</v>
      </c>
      <c r="V254" s="227">
        <f t="shared" si="230"/>
        <v>1</v>
      </c>
      <c r="W254" s="229"/>
      <c r="X254" s="234">
        <f>+'Plan de Accion apoyo transversa'!BN53</f>
        <v>0</v>
      </c>
      <c r="Y254" s="266" t="str">
        <f>+'Plan de Accion apoyo transversa'!CI53</f>
        <v>No Prog ni Ejec</v>
      </c>
      <c r="Z254" s="228" t="s">
        <v>204</v>
      </c>
      <c r="AA254" s="233">
        <f>+'Plan de Accion apoyo transversa'!BR53</f>
        <v>1</v>
      </c>
      <c r="AB254" s="233">
        <f t="shared" si="232"/>
        <v>1</v>
      </c>
      <c r="AC254" s="232" t="s">
        <v>204</v>
      </c>
      <c r="AD254" s="229"/>
      <c r="AE254" s="234">
        <f>+'Plan de Accion apoyo transversa'!BX53</f>
        <v>0</v>
      </c>
      <c r="AF254" s="266" t="str">
        <f>+'Plan de Accion apoyo transversa'!CK53</f>
        <v>No Prog ni Ejec</v>
      </c>
      <c r="AG254" s="228" t="s">
        <v>204</v>
      </c>
      <c r="AH254" s="266">
        <f>+'Plan de Accion apoyo transversa'!CB53</f>
        <v>1</v>
      </c>
      <c r="AI254" s="227">
        <f t="shared" si="235"/>
        <v>1</v>
      </c>
      <c r="AJ254" s="237"/>
      <c r="AL254" s="239"/>
      <c r="AM254" s="238"/>
      <c r="AN254" s="220"/>
      <c r="AO254" s="239"/>
      <c r="AP254" s="238"/>
      <c r="AQ254" s="220"/>
      <c r="AR254" s="239"/>
      <c r="AS254" s="238"/>
      <c r="AT254" s="220"/>
      <c r="AU254" s="239"/>
      <c r="AV254" s="238"/>
      <c r="AW254" s="218"/>
      <c r="AX254" s="237"/>
      <c r="AZ254" s="239"/>
      <c r="BA254" s="238"/>
      <c r="BB254" s="220"/>
      <c r="BC254" s="239"/>
      <c r="BD254" s="238"/>
      <c r="BE254" s="220"/>
      <c r="BF254" s="239"/>
      <c r="BG254" s="238"/>
      <c r="BH254" s="220"/>
      <c r="BI254" s="239"/>
      <c r="BJ254" s="238"/>
      <c r="BK254" s="218"/>
      <c r="BL254" s="237"/>
      <c r="BN254" s="239"/>
      <c r="BO254" s="238"/>
      <c r="BP254" s="220"/>
      <c r="BQ254" s="239"/>
      <c r="BR254" s="238"/>
      <c r="BS254" s="220"/>
      <c r="BT254" s="239"/>
      <c r="BU254" s="238"/>
      <c r="BV254" s="220"/>
      <c r="BW254" s="239"/>
      <c r="BX254" s="238"/>
      <c r="BY254" s="218"/>
      <c r="BZ254" s="237"/>
      <c r="CB254" s="239"/>
      <c r="CC254" s="238"/>
      <c r="CD254" s="220"/>
      <c r="CE254" s="239"/>
      <c r="CF254" s="238"/>
      <c r="CG254" s="220"/>
      <c r="CH254" s="239"/>
      <c r="CI254" s="238"/>
      <c r="CJ254" s="220"/>
      <c r="CK254" s="239"/>
      <c r="CL254" s="238"/>
      <c r="CM254" s="218"/>
      <c r="CN254" s="237"/>
    </row>
    <row r="255" spans="2:92" ht="86.25" thickBot="1" x14ac:dyDescent="0.25">
      <c r="B255" s="1228"/>
      <c r="C255" s="1241"/>
      <c r="D255" s="1210"/>
      <c r="E255" s="1212"/>
      <c r="F255" s="1210" t="s">
        <v>330</v>
      </c>
      <c r="G255" s="335" t="str">
        <f>+'Plan de Accion apoyo transversa'!X54</f>
        <v>Informe de Política y los indicadores de gestión ambiental y someterlos a aprobación del Comité Institucional de Gestión y Desempeño</v>
      </c>
      <c r="H255" s="231" t="str">
        <f>+'Plan de Accion apoyo transversa'!AK54</f>
        <v># Informes de Política y los indicadores de gestión ambiental para aprobación del Comité Institucional de Gestión y Desempeño</v>
      </c>
      <c r="J255" s="234">
        <f>+'Plan de Accion apoyo transversa'!AT54</f>
        <v>0</v>
      </c>
      <c r="K255" s="503" t="str">
        <f>+'Plan de Accion apoyo transversa'!CE54</f>
        <v>No Prog ni Ejec</v>
      </c>
      <c r="L255" s="503" t="s">
        <v>204</v>
      </c>
      <c r="M255" s="503">
        <f>+'Plan de Accion apoyo transversa'!AX54</f>
        <v>0</v>
      </c>
      <c r="N255" s="503">
        <f t="shared" si="226"/>
        <v>0</v>
      </c>
      <c r="O255" s="505" t="s">
        <v>204</v>
      </c>
      <c r="P255" s="229"/>
      <c r="Q255" s="234">
        <f>+'Plan de Accion apoyo transversa'!BD54</f>
        <v>0</v>
      </c>
      <c r="R255" s="266" t="str">
        <f>+'Plan de Accion apoyo transversa'!CG54</f>
        <v>No Prog ni Ejec</v>
      </c>
      <c r="S255" s="228" t="s">
        <v>204</v>
      </c>
      <c r="T255" s="324">
        <f>+'Plan de Accion apoyo transversa'!BH54</f>
        <v>0</v>
      </c>
      <c r="U255" s="324">
        <f t="shared" si="229"/>
        <v>0</v>
      </c>
      <c r="V255" s="227" t="s">
        <v>204</v>
      </c>
      <c r="W255" s="229"/>
      <c r="X255" s="234">
        <f>+'Plan de Accion apoyo transversa'!BN54</f>
        <v>0</v>
      </c>
      <c r="Y255" s="266">
        <f>+'Plan de Accion apoyo transversa'!CI54</f>
        <v>0</v>
      </c>
      <c r="Z255" s="228">
        <f t="shared" si="231"/>
        <v>0</v>
      </c>
      <c r="AA255" s="233">
        <f>+'Plan de Accion apoyo transversa'!BR54</f>
        <v>0</v>
      </c>
      <c r="AB255" s="233">
        <f t="shared" si="232"/>
        <v>0</v>
      </c>
      <c r="AC255" s="232">
        <f t="shared" si="233"/>
        <v>0</v>
      </c>
      <c r="AD255" s="229"/>
      <c r="AE255" s="234">
        <f>+'Plan de Accion apoyo transversa'!BX54</f>
        <v>0</v>
      </c>
      <c r="AF255" s="266" t="str">
        <f>+'Plan de Accion apoyo transversa'!CK54</f>
        <v>No Prog ni Ejec</v>
      </c>
      <c r="AG255" s="228" t="s">
        <v>204</v>
      </c>
      <c r="AH255" s="266">
        <f>+'Plan de Accion apoyo transversa'!CB54</f>
        <v>0</v>
      </c>
      <c r="AI255" s="227">
        <f t="shared" si="235"/>
        <v>0</v>
      </c>
      <c r="AJ255" s="237"/>
      <c r="AL255" s="239"/>
      <c r="AM255" s="238"/>
      <c r="AN255" s="220"/>
      <c r="AO255" s="239"/>
      <c r="AP255" s="238"/>
      <c r="AQ255" s="220"/>
      <c r="AR255" s="239"/>
      <c r="AS255" s="238"/>
      <c r="AT255" s="220"/>
      <c r="AU255" s="239"/>
      <c r="AV255" s="238"/>
      <c r="AW255" s="218"/>
      <c r="AX255" s="237"/>
      <c r="AZ255" s="239"/>
      <c r="BA255" s="238"/>
      <c r="BB255" s="220"/>
      <c r="BC255" s="239"/>
      <c r="BD255" s="238"/>
      <c r="BE255" s="220"/>
      <c r="BF255" s="239"/>
      <c r="BG255" s="238"/>
      <c r="BH255" s="220"/>
      <c r="BI255" s="239"/>
      <c r="BJ255" s="238"/>
      <c r="BK255" s="218"/>
      <c r="BL255" s="237"/>
      <c r="BN255" s="239"/>
      <c r="BO255" s="238"/>
      <c r="BP255" s="220"/>
      <c r="BQ255" s="239"/>
      <c r="BR255" s="238"/>
      <c r="BS255" s="220"/>
      <c r="BT255" s="239"/>
      <c r="BU255" s="238"/>
      <c r="BV255" s="220"/>
      <c r="BW255" s="239"/>
      <c r="BX255" s="238"/>
      <c r="BY255" s="218"/>
      <c r="BZ255" s="237"/>
      <c r="CB255" s="239"/>
      <c r="CC255" s="238"/>
      <c r="CD255" s="220"/>
      <c r="CE255" s="239"/>
      <c r="CF255" s="238"/>
      <c r="CG255" s="220"/>
      <c r="CH255" s="239"/>
      <c r="CI255" s="238"/>
      <c r="CJ255" s="220"/>
      <c r="CK255" s="239"/>
      <c r="CL255" s="238"/>
      <c r="CM255" s="218"/>
      <c r="CN255" s="237"/>
    </row>
    <row r="256" spans="2:92" ht="100.5" thickBot="1" x14ac:dyDescent="0.25">
      <c r="B256" s="1228"/>
      <c r="C256" s="1241"/>
      <c r="D256" s="1210"/>
      <c r="E256" s="1212"/>
      <c r="F256" s="1203"/>
      <c r="G256" s="335" t="str">
        <f>+'Plan de Accion apoyo transversa'!X55</f>
        <v>Informe de evaluación de los formatos de los procesos a cargo de la Dirección Administrativa y Financiera para determinar su conveniencia</v>
      </c>
      <c r="H256" s="231" t="str">
        <f>+'Plan de Accion apoyo transversa'!AK55</f>
        <v># Informe de evaluación de los formatos de los procesos a cargo  de la Dirección Administrativa y Financiera de la Dirección Administrativa y Financiera para determinar su conveniencia</v>
      </c>
      <c r="J256" s="234">
        <f>+'Plan de Accion apoyo transversa'!AT55</f>
        <v>1</v>
      </c>
      <c r="K256" s="503">
        <f>+'Plan de Accion apoyo transversa'!CE55</f>
        <v>1</v>
      </c>
      <c r="L256" s="503">
        <f>IF(K256&gt;100%,100%,K256)</f>
        <v>1</v>
      </c>
      <c r="M256" s="503">
        <f>+'Plan de Accion apoyo transversa'!AX55</f>
        <v>1</v>
      </c>
      <c r="N256" s="503">
        <f t="shared" si="226"/>
        <v>1</v>
      </c>
      <c r="O256" s="505">
        <f>+N256</f>
        <v>1</v>
      </c>
      <c r="P256" s="229"/>
      <c r="Q256" s="234">
        <f>+'Plan de Accion apoyo transversa'!BD55</f>
        <v>0</v>
      </c>
      <c r="R256" s="266" t="str">
        <f>+'Plan de Accion apoyo transversa'!CG55</f>
        <v>No Prog ni Ejec</v>
      </c>
      <c r="S256" s="228" t="s">
        <v>204</v>
      </c>
      <c r="T256" s="324">
        <f>+'Plan de Accion apoyo transversa'!BH55</f>
        <v>1</v>
      </c>
      <c r="U256" s="324">
        <f t="shared" si="229"/>
        <v>1</v>
      </c>
      <c r="V256" s="227">
        <f t="shared" si="230"/>
        <v>1</v>
      </c>
      <c r="W256" s="229"/>
      <c r="X256" s="234">
        <f>+'Plan de Accion apoyo transversa'!BN55</f>
        <v>0</v>
      </c>
      <c r="Y256" s="266" t="str">
        <f>+'Plan de Accion apoyo transversa'!CI55</f>
        <v>No Prog ni Ejec</v>
      </c>
      <c r="Z256" s="228" t="s">
        <v>204</v>
      </c>
      <c r="AA256" s="233">
        <f>+'Plan de Accion apoyo transversa'!BR55</f>
        <v>1</v>
      </c>
      <c r="AB256" s="233">
        <f t="shared" si="232"/>
        <v>1</v>
      </c>
      <c r="AC256" s="232">
        <f t="shared" si="233"/>
        <v>1</v>
      </c>
      <c r="AD256" s="229"/>
      <c r="AE256" s="234">
        <f>+'Plan de Accion apoyo transversa'!BX55</f>
        <v>0</v>
      </c>
      <c r="AF256" s="266" t="str">
        <f>+'Plan de Accion apoyo transversa'!CK55</f>
        <v>No Prog ni Ejec</v>
      </c>
      <c r="AG256" s="228" t="s">
        <v>204</v>
      </c>
      <c r="AH256" s="266">
        <f>+'Plan de Accion apoyo transversa'!CB55</f>
        <v>1</v>
      </c>
      <c r="AI256" s="227">
        <f t="shared" si="235"/>
        <v>1</v>
      </c>
      <c r="AJ256" s="237"/>
      <c r="AL256" s="239"/>
      <c r="AM256" s="238"/>
      <c r="AN256" s="220"/>
      <c r="AO256" s="239"/>
      <c r="AP256" s="238"/>
      <c r="AQ256" s="220"/>
      <c r="AR256" s="239"/>
      <c r="AS256" s="238"/>
      <c r="AT256" s="220"/>
      <c r="AU256" s="239"/>
      <c r="AV256" s="238"/>
      <c r="AW256" s="218"/>
      <c r="AX256" s="237"/>
      <c r="AZ256" s="239"/>
      <c r="BA256" s="238"/>
      <c r="BB256" s="220"/>
      <c r="BC256" s="239"/>
      <c r="BD256" s="238"/>
      <c r="BE256" s="220"/>
      <c r="BF256" s="239"/>
      <c r="BG256" s="238"/>
      <c r="BH256" s="220"/>
      <c r="BI256" s="239"/>
      <c r="BJ256" s="238"/>
      <c r="BK256" s="218"/>
      <c r="BL256" s="237"/>
      <c r="BN256" s="239"/>
      <c r="BO256" s="238"/>
      <c r="BP256" s="220"/>
      <c r="BQ256" s="239"/>
      <c r="BR256" s="238"/>
      <c r="BS256" s="220"/>
      <c r="BT256" s="239"/>
      <c r="BU256" s="238"/>
      <c r="BV256" s="220"/>
      <c r="BW256" s="239"/>
      <c r="BX256" s="238"/>
      <c r="BY256" s="218"/>
      <c r="BZ256" s="237"/>
      <c r="CB256" s="239"/>
      <c r="CC256" s="238"/>
      <c r="CD256" s="220"/>
      <c r="CE256" s="239"/>
      <c r="CF256" s="238"/>
      <c r="CG256" s="220"/>
      <c r="CH256" s="239"/>
      <c r="CI256" s="238"/>
      <c r="CJ256" s="220"/>
      <c r="CK256" s="239"/>
      <c r="CL256" s="238"/>
      <c r="CM256" s="218"/>
      <c r="CN256" s="237"/>
    </row>
    <row r="257" spans="2:92" ht="43.5" customHeight="1" thickBot="1" x14ac:dyDescent="0.25">
      <c r="B257" s="1228"/>
      <c r="C257" s="1241"/>
      <c r="D257" s="1210"/>
      <c r="E257" s="1212"/>
      <c r="F257" s="1210" t="s">
        <v>1191</v>
      </c>
      <c r="G257" s="335" t="str">
        <f>+'Plan de Accion apoyo transversa'!X57</f>
        <v>Matriz de requisitos legales actualizada</v>
      </c>
      <c r="H257" s="231" t="str">
        <f>+'Plan de Accion apoyo transversa'!AK57</f>
        <v># de actividades realizadas</v>
      </c>
      <c r="J257" s="234">
        <f>+'Plan de Accion apoyo transversa'!AT57</f>
        <v>0</v>
      </c>
      <c r="K257" s="503" t="str">
        <f>+'Plan de Accion apoyo transversa'!CE57</f>
        <v>No Prog ni Ejec</v>
      </c>
      <c r="L257" s="503" t="s">
        <v>204</v>
      </c>
      <c r="M257" s="503">
        <f>+'Plan de Accion apoyo transversa'!AX57</f>
        <v>0</v>
      </c>
      <c r="N257" s="503">
        <f t="shared" si="226"/>
        <v>0</v>
      </c>
      <c r="O257" s="505" t="s">
        <v>204</v>
      </c>
      <c r="P257" s="229"/>
      <c r="Q257" s="234">
        <f>+'Plan de Accion apoyo transversa'!BD57</f>
        <v>0</v>
      </c>
      <c r="R257" s="266">
        <f>+'Plan de Accion apoyo transversa'!CG57</f>
        <v>0</v>
      </c>
      <c r="S257" s="228">
        <f t="shared" ref="S257" si="236">IF(R257&gt;100%,100%,R257)</f>
        <v>0</v>
      </c>
      <c r="T257" s="324">
        <f>+'Plan de Accion apoyo transversa'!BH57</f>
        <v>0</v>
      </c>
      <c r="U257" s="324">
        <f t="shared" ref="U257:U261" si="237">IF(T257&gt;100%,100%,T257)</f>
        <v>0</v>
      </c>
      <c r="V257" s="227">
        <f t="shared" si="230"/>
        <v>0</v>
      </c>
      <c r="W257" s="229"/>
      <c r="X257" s="234">
        <f>+'Plan de Accion apoyo transversa'!BN57</f>
        <v>0</v>
      </c>
      <c r="Y257" s="266" t="str">
        <f>+'Plan de Accion apoyo transversa'!CI57</f>
        <v>No Prog ni Ejec</v>
      </c>
      <c r="Z257" s="228" t="s">
        <v>204</v>
      </c>
      <c r="AA257" s="233">
        <f>+'Plan de Accion apoyo transversa'!BR57</f>
        <v>0</v>
      </c>
      <c r="AB257" s="233">
        <f t="shared" ref="AB257:AB261" si="238">IF(AA257&gt;100%,100%,AA257)</f>
        <v>0</v>
      </c>
      <c r="AC257" s="232">
        <f t="shared" ref="AC257:AC267" si="239">+AB257</f>
        <v>0</v>
      </c>
      <c r="AD257" s="229"/>
      <c r="AE257" s="234">
        <f>+'Plan de Accion apoyo transversa'!BX57</f>
        <v>0</v>
      </c>
      <c r="AF257" s="266">
        <f>+'Plan de Accion apoyo transversa'!CK57</f>
        <v>0</v>
      </c>
      <c r="AG257" s="228" t="s">
        <v>204</v>
      </c>
      <c r="AH257" s="266">
        <f>+'Plan de Accion apoyo transversa'!CB57</f>
        <v>0</v>
      </c>
      <c r="AI257" s="227">
        <f t="shared" ref="AI257:AI262" si="240">IF(AH257&gt;100%,100%,AH257)</f>
        <v>0</v>
      </c>
      <c r="AJ257" s="237"/>
      <c r="AL257" s="331"/>
      <c r="AM257" s="238"/>
      <c r="AN257" s="220"/>
      <c r="AO257" s="331"/>
      <c r="AP257" s="238"/>
      <c r="AQ257" s="220"/>
      <c r="AR257" s="331"/>
      <c r="AS257" s="238"/>
      <c r="AT257" s="220"/>
      <c r="AU257" s="331"/>
      <c r="AV257" s="238"/>
      <c r="AW257" s="218"/>
      <c r="AX257" s="237"/>
      <c r="AZ257" s="331"/>
      <c r="BA257" s="238"/>
      <c r="BB257" s="220"/>
      <c r="BC257" s="331"/>
      <c r="BD257" s="238"/>
      <c r="BE257" s="220"/>
      <c r="BF257" s="331"/>
      <c r="BG257" s="238"/>
      <c r="BH257" s="220"/>
      <c r="BI257" s="331"/>
      <c r="BJ257" s="238"/>
      <c r="BK257" s="218"/>
      <c r="BL257" s="237"/>
      <c r="BN257" s="331"/>
      <c r="BO257" s="238"/>
      <c r="BP257" s="220"/>
      <c r="BQ257" s="331"/>
      <c r="BR257" s="238"/>
      <c r="BS257" s="220"/>
      <c r="BT257" s="331"/>
      <c r="BU257" s="238"/>
      <c r="BV257" s="220"/>
      <c r="BW257" s="331"/>
      <c r="BX257" s="238"/>
      <c r="BY257" s="218"/>
      <c r="BZ257" s="237"/>
      <c r="CB257" s="331"/>
      <c r="CC257" s="238"/>
      <c r="CD257" s="220"/>
      <c r="CE257" s="331"/>
      <c r="CF257" s="238"/>
      <c r="CG257" s="220"/>
      <c r="CH257" s="331"/>
      <c r="CI257" s="238"/>
      <c r="CJ257" s="220"/>
      <c r="CK257" s="331"/>
      <c r="CL257" s="238"/>
      <c r="CM257" s="218"/>
      <c r="CN257" s="237"/>
    </row>
    <row r="258" spans="2:92" ht="29.25" thickBot="1" x14ac:dyDescent="0.25">
      <c r="B258" s="1228"/>
      <c r="C258" s="1241"/>
      <c r="D258" s="1210"/>
      <c r="E258" s="1212"/>
      <c r="F258" s="1210"/>
      <c r="G258" s="335" t="str">
        <f>+'Plan de Accion apoyo transversa'!X58</f>
        <v xml:space="preserve"> Documentos del SG-SST actualizados</v>
      </c>
      <c r="H258" s="231" t="str">
        <f>+'Plan de Accion apoyo transversa'!AK58</f>
        <v># de actividades realizadas</v>
      </c>
      <c r="J258" s="234">
        <f>+'Plan de Accion apoyo transversa'!AT58</f>
        <v>0</v>
      </c>
      <c r="K258" s="503" t="str">
        <f>+'Plan de Accion apoyo transversa'!CE58</f>
        <v>No Prog ni Ejec</v>
      </c>
      <c r="L258" s="503" t="s">
        <v>204</v>
      </c>
      <c r="M258" s="503">
        <f>+'Plan de Accion apoyo transversa'!AX58</f>
        <v>0</v>
      </c>
      <c r="N258" s="503">
        <f t="shared" si="226"/>
        <v>0</v>
      </c>
      <c r="O258" s="505" t="s">
        <v>204</v>
      </c>
      <c r="P258" s="229"/>
      <c r="Q258" s="234">
        <f>+'Plan de Accion apoyo transversa'!BD58</f>
        <v>0</v>
      </c>
      <c r="R258" s="266" t="str">
        <f>+'Plan de Accion apoyo transversa'!CG58</f>
        <v>No Prog ni Ejec</v>
      </c>
      <c r="S258" s="228" t="s">
        <v>204</v>
      </c>
      <c r="T258" s="324">
        <f>+'Plan de Accion apoyo transversa'!BH58</f>
        <v>0</v>
      </c>
      <c r="U258" s="324">
        <f t="shared" si="237"/>
        <v>0</v>
      </c>
      <c r="V258" s="227" t="s">
        <v>204</v>
      </c>
      <c r="W258" s="229"/>
      <c r="X258" s="234">
        <f>+'Plan de Accion apoyo transversa'!BN58</f>
        <v>0</v>
      </c>
      <c r="Y258" s="266">
        <f>+'Plan de Accion apoyo transversa'!CI58</f>
        <v>0</v>
      </c>
      <c r="Z258" s="228">
        <f t="shared" ref="Z258:Z260" si="241">IF(Y258&gt;100%,100%,Y258)</f>
        <v>0</v>
      </c>
      <c r="AA258" s="233">
        <f>+'Plan de Accion apoyo transversa'!BR58</f>
        <v>0</v>
      </c>
      <c r="AB258" s="233">
        <f t="shared" si="238"/>
        <v>0</v>
      </c>
      <c r="AC258" s="232">
        <f t="shared" si="239"/>
        <v>0</v>
      </c>
      <c r="AD258" s="229"/>
      <c r="AE258" s="234">
        <f>+'Plan de Accion apoyo transversa'!BX58</f>
        <v>0</v>
      </c>
      <c r="AF258" s="266" t="str">
        <f>+'Plan de Accion apoyo transversa'!CK58</f>
        <v>No Prog ni Ejec</v>
      </c>
      <c r="AG258" s="228">
        <f>IF(AF258&gt;100%,100%,AF258)</f>
        <v>1</v>
      </c>
      <c r="AH258" s="266">
        <f>+'Plan de Accion apoyo transversa'!CB58</f>
        <v>0</v>
      </c>
      <c r="AI258" s="227">
        <f t="shared" si="240"/>
        <v>0</v>
      </c>
      <c r="AJ258" s="237"/>
      <c r="AL258" s="331"/>
      <c r="AM258" s="238"/>
      <c r="AN258" s="220"/>
      <c r="AO258" s="331"/>
      <c r="AP258" s="238"/>
      <c r="AQ258" s="220"/>
      <c r="AR258" s="331"/>
      <c r="AS258" s="238"/>
      <c r="AT258" s="220"/>
      <c r="AU258" s="331"/>
      <c r="AV258" s="238"/>
      <c r="AW258" s="218"/>
      <c r="AX258" s="237"/>
      <c r="AZ258" s="331"/>
      <c r="BA258" s="238"/>
      <c r="BB258" s="220"/>
      <c r="BC258" s="331"/>
      <c r="BD258" s="238"/>
      <c r="BE258" s="220"/>
      <c r="BF258" s="331"/>
      <c r="BG258" s="238"/>
      <c r="BH258" s="220"/>
      <c r="BI258" s="331"/>
      <c r="BJ258" s="238"/>
      <c r="BK258" s="218"/>
      <c r="BL258" s="237"/>
      <c r="BN258" s="331"/>
      <c r="BO258" s="238"/>
      <c r="BP258" s="220"/>
      <c r="BQ258" s="331"/>
      <c r="BR258" s="238"/>
      <c r="BS258" s="220"/>
      <c r="BT258" s="331"/>
      <c r="BU258" s="238"/>
      <c r="BV258" s="220"/>
      <c r="BW258" s="331"/>
      <c r="BX258" s="238"/>
      <c r="BY258" s="218"/>
      <c r="BZ258" s="237"/>
      <c r="CB258" s="331"/>
      <c r="CC258" s="238"/>
      <c r="CD258" s="220"/>
      <c r="CE258" s="331"/>
      <c r="CF258" s="238"/>
      <c r="CG258" s="220"/>
      <c r="CH258" s="331"/>
      <c r="CI258" s="238"/>
      <c r="CJ258" s="220"/>
      <c r="CK258" s="331"/>
      <c r="CL258" s="238"/>
      <c r="CM258" s="218"/>
      <c r="CN258" s="237"/>
    </row>
    <row r="259" spans="2:92" ht="29.25" thickBot="1" x14ac:dyDescent="0.25">
      <c r="B259" s="1228"/>
      <c r="C259" s="1241"/>
      <c r="D259" s="1210"/>
      <c r="E259" s="1212"/>
      <c r="F259" s="1210"/>
      <c r="G259" s="335" t="str">
        <f>+'Plan de Accion apoyo transversa'!X59</f>
        <v>Programa de medicina preventiva elaborado</v>
      </c>
      <c r="H259" s="231" t="str">
        <f>+'Plan de Accion apoyo transversa'!AK59</f>
        <v># de actividades realizadas</v>
      </c>
      <c r="J259" s="234">
        <f>+'Plan de Accion apoyo transversa'!AT59</f>
        <v>0</v>
      </c>
      <c r="K259" s="503" t="str">
        <f>+'Plan de Accion apoyo transversa'!CE59</f>
        <v>No Prog ni Ejec</v>
      </c>
      <c r="L259" s="503" t="s">
        <v>204</v>
      </c>
      <c r="M259" s="503">
        <f>+'Plan de Accion apoyo transversa'!AX59</f>
        <v>0</v>
      </c>
      <c r="N259" s="503">
        <f t="shared" si="226"/>
        <v>0</v>
      </c>
      <c r="O259" s="505" t="s">
        <v>204</v>
      </c>
      <c r="P259" s="229"/>
      <c r="Q259" s="234">
        <f>+'Plan de Accion apoyo transversa'!BD59</f>
        <v>0</v>
      </c>
      <c r="R259" s="266" t="str">
        <f>+'Plan de Accion apoyo transversa'!CG59</f>
        <v>No Prog ni Ejec</v>
      </c>
      <c r="S259" s="228" t="s">
        <v>204</v>
      </c>
      <c r="T259" s="324">
        <f>+'Plan de Accion apoyo transversa'!BH59</f>
        <v>0</v>
      </c>
      <c r="U259" s="324">
        <f t="shared" si="237"/>
        <v>0</v>
      </c>
      <c r="V259" s="227" t="s">
        <v>204</v>
      </c>
      <c r="W259" s="229"/>
      <c r="X259" s="234">
        <f>+'Plan de Accion apoyo transversa'!BN59</f>
        <v>0</v>
      </c>
      <c r="Y259" s="266">
        <f>+'Plan de Accion apoyo transversa'!CI59</f>
        <v>0</v>
      </c>
      <c r="Z259" s="228">
        <f t="shared" si="241"/>
        <v>0</v>
      </c>
      <c r="AA259" s="233">
        <f>+'Plan de Accion apoyo transversa'!BR59</f>
        <v>0</v>
      </c>
      <c r="AB259" s="233">
        <f t="shared" si="238"/>
        <v>0</v>
      </c>
      <c r="AC259" s="232">
        <f t="shared" si="239"/>
        <v>0</v>
      </c>
      <c r="AD259" s="229"/>
      <c r="AE259" s="234">
        <f>+'Plan de Accion apoyo transversa'!BX59</f>
        <v>0</v>
      </c>
      <c r="AF259" s="266" t="str">
        <f>+'Plan de Accion apoyo transversa'!CK59</f>
        <v>No Prog ni Ejec</v>
      </c>
      <c r="AG259" s="228" t="s">
        <v>204</v>
      </c>
      <c r="AH259" s="266">
        <f>+'Plan de Accion apoyo transversa'!CB59</f>
        <v>0</v>
      </c>
      <c r="AI259" s="227">
        <f t="shared" si="240"/>
        <v>0</v>
      </c>
      <c r="AJ259" s="237"/>
      <c r="AL259" s="331"/>
      <c r="AM259" s="238"/>
      <c r="AN259" s="220"/>
      <c r="AO259" s="331"/>
      <c r="AP259" s="238"/>
      <c r="AQ259" s="220"/>
      <c r="AR259" s="331"/>
      <c r="AS259" s="238"/>
      <c r="AT259" s="220"/>
      <c r="AU259" s="331"/>
      <c r="AV259" s="238"/>
      <c r="AW259" s="218"/>
      <c r="AX259" s="237"/>
      <c r="AZ259" s="331"/>
      <c r="BA259" s="238"/>
      <c r="BB259" s="220"/>
      <c r="BC259" s="331"/>
      <c r="BD259" s="238"/>
      <c r="BE259" s="220"/>
      <c r="BF259" s="331"/>
      <c r="BG259" s="238"/>
      <c r="BH259" s="220"/>
      <c r="BI259" s="331"/>
      <c r="BJ259" s="238"/>
      <c r="BK259" s="218"/>
      <c r="BL259" s="237"/>
      <c r="BN259" s="331"/>
      <c r="BO259" s="238"/>
      <c r="BP259" s="220"/>
      <c r="BQ259" s="331"/>
      <c r="BR259" s="238"/>
      <c r="BS259" s="220"/>
      <c r="BT259" s="331"/>
      <c r="BU259" s="238"/>
      <c r="BV259" s="220"/>
      <c r="BW259" s="331"/>
      <c r="BX259" s="238"/>
      <c r="BY259" s="218"/>
      <c r="BZ259" s="237"/>
      <c r="CB259" s="331"/>
      <c r="CC259" s="238"/>
      <c r="CD259" s="220"/>
      <c r="CE259" s="331"/>
      <c r="CF259" s="238"/>
      <c r="CG259" s="220"/>
      <c r="CH259" s="331"/>
      <c r="CI259" s="238"/>
      <c r="CJ259" s="220"/>
      <c r="CK259" s="331"/>
      <c r="CL259" s="238"/>
      <c r="CM259" s="218"/>
      <c r="CN259" s="237"/>
    </row>
    <row r="260" spans="2:92" ht="29.25" thickBot="1" x14ac:dyDescent="0.25">
      <c r="B260" s="1228"/>
      <c r="C260" s="1241"/>
      <c r="D260" s="1210"/>
      <c r="E260" s="1212"/>
      <c r="F260" s="1210"/>
      <c r="G260" s="335" t="str">
        <f>+'Plan de Accion apoyo transversa'!X60</f>
        <v>Programa de orden y aseso elaborado</v>
      </c>
      <c r="H260" s="231" t="str">
        <f>+'Plan de Accion apoyo transversa'!AK60</f>
        <v># de actividades realizadas</v>
      </c>
      <c r="J260" s="234">
        <f>+'Plan de Accion apoyo transversa'!AT60</f>
        <v>0</v>
      </c>
      <c r="K260" s="503" t="str">
        <f>+'Plan de Accion apoyo transversa'!CE60</f>
        <v>No Prog ni Ejec</v>
      </c>
      <c r="L260" s="503" t="s">
        <v>204</v>
      </c>
      <c r="M260" s="503">
        <f>+'Plan de Accion apoyo transversa'!AX60</f>
        <v>0</v>
      </c>
      <c r="N260" s="503">
        <f t="shared" si="226"/>
        <v>0</v>
      </c>
      <c r="O260" s="505" t="s">
        <v>204</v>
      </c>
      <c r="P260" s="229"/>
      <c r="Q260" s="234">
        <f>+'Plan de Accion apoyo transversa'!BD60</f>
        <v>0</v>
      </c>
      <c r="R260" s="266" t="str">
        <f>+'Plan de Accion apoyo transversa'!CG60</f>
        <v>No Prog ni Ejec</v>
      </c>
      <c r="S260" s="228" t="s">
        <v>204</v>
      </c>
      <c r="T260" s="324">
        <f>+'Plan de Accion apoyo transversa'!BH60</f>
        <v>0</v>
      </c>
      <c r="U260" s="324">
        <f t="shared" si="237"/>
        <v>0</v>
      </c>
      <c r="V260" s="227" t="s">
        <v>204</v>
      </c>
      <c r="W260" s="229"/>
      <c r="X260" s="234">
        <f>+'Plan de Accion apoyo transversa'!BN60</f>
        <v>0</v>
      </c>
      <c r="Y260" s="266">
        <f>+'Plan de Accion apoyo transversa'!CI60</f>
        <v>0</v>
      </c>
      <c r="Z260" s="228">
        <f t="shared" si="241"/>
        <v>0</v>
      </c>
      <c r="AA260" s="233">
        <f>+'Plan de Accion apoyo transversa'!BR60</f>
        <v>0</v>
      </c>
      <c r="AB260" s="233">
        <f t="shared" si="238"/>
        <v>0</v>
      </c>
      <c r="AC260" s="232">
        <f t="shared" si="239"/>
        <v>0</v>
      </c>
      <c r="AD260" s="229"/>
      <c r="AE260" s="234">
        <f>+'Plan de Accion apoyo transversa'!BX60</f>
        <v>0</v>
      </c>
      <c r="AF260" s="266" t="str">
        <f>+'Plan de Accion apoyo transversa'!CK60</f>
        <v>No Prog ni Ejec</v>
      </c>
      <c r="AG260" s="228" t="s">
        <v>204</v>
      </c>
      <c r="AH260" s="266">
        <f>+'Plan de Accion apoyo transversa'!CB60</f>
        <v>0</v>
      </c>
      <c r="AI260" s="227">
        <f t="shared" si="240"/>
        <v>0</v>
      </c>
      <c r="AJ260" s="237"/>
      <c r="AL260" s="331"/>
      <c r="AM260" s="238"/>
      <c r="AN260" s="220"/>
      <c r="AO260" s="331"/>
      <c r="AP260" s="238"/>
      <c r="AQ260" s="220"/>
      <c r="AR260" s="331"/>
      <c r="AS260" s="238"/>
      <c r="AT260" s="220"/>
      <c r="AU260" s="331"/>
      <c r="AV260" s="238"/>
      <c r="AW260" s="218"/>
      <c r="AX260" s="237"/>
      <c r="AZ260" s="331"/>
      <c r="BA260" s="238"/>
      <c r="BB260" s="220"/>
      <c r="BC260" s="331"/>
      <c r="BD260" s="238"/>
      <c r="BE260" s="220"/>
      <c r="BF260" s="331"/>
      <c r="BG260" s="238"/>
      <c r="BH260" s="220"/>
      <c r="BI260" s="331"/>
      <c r="BJ260" s="238"/>
      <c r="BK260" s="218"/>
      <c r="BL260" s="237"/>
      <c r="BN260" s="331"/>
      <c r="BO260" s="238"/>
      <c r="BP260" s="220"/>
      <c r="BQ260" s="331"/>
      <c r="BR260" s="238"/>
      <c r="BS260" s="220"/>
      <c r="BT260" s="331"/>
      <c r="BU260" s="238"/>
      <c r="BV260" s="220"/>
      <c r="BW260" s="331"/>
      <c r="BX260" s="238"/>
      <c r="BY260" s="218"/>
      <c r="BZ260" s="237"/>
      <c r="CB260" s="331"/>
      <c r="CC260" s="238"/>
      <c r="CD260" s="220"/>
      <c r="CE260" s="331"/>
      <c r="CF260" s="238"/>
      <c r="CG260" s="220"/>
      <c r="CH260" s="331"/>
      <c r="CI260" s="238"/>
      <c r="CJ260" s="220"/>
      <c r="CK260" s="331"/>
      <c r="CL260" s="238"/>
      <c r="CM260" s="218"/>
      <c r="CN260" s="237"/>
    </row>
    <row r="261" spans="2:92" ht="57.75" thickBot="1" x14ac:dyDescent="0.25">
      <c r="B261" s="1228"/>
      <c r="C261" s="1241"/>
      <c r="D261" s="1210"/>
      <c r="E261" s="1212"/>
      <c r="F261" s="1210"/>
      <c r="G261" s="335" t="str">
        <f>+'Plan de Accion apoyo transversa'!X61</f>
        <v>Programa de vigilancia epidemiológicos  de riesgo Psicosocial y Biomecánico elaborado</v>
      </c>
      <c r="H261" s="231" t="str">
        <f>+'Plan de Accion apoyo transversa'!AK61</f>
        <v># de actividades realizadas</v>
      </c>
      <c r="J261" s="234">
        <f>+'Plan de Accion apoyo transversa'!AT61</f>
        <v>0</v>
      </c>
      <c r="K261" s="503" t="str">
        <f>+'Plan de Accion apoyo transversa'!CE61</f>
        <v>No Prog ni Ejec</v>
      </c>
      <c r="L261" s="503" t="s">
        <v>204</v>
      </c>
      <c r="M261" s="503">
        <f>+'Plan de Accion apoyo transversa'!AX61</f>
        <v>0</v>
      </c>
      <c r="N261" s="503">
        <f t="shared" si="226"/>
        <v>0</v>
      </c>
      <c r="O261" s="505" t="s">
        <v>204</v>
      </c>
      <c r="P261" s="229"/>
      <c r="Q261" s="234">
        <f>+'Plan de Accion apoyo transversa'!BD61</f>
        <v>0</v>
      </c>
      <c r="R261" s="266" t="str">
        <f>+'Plan de Accion apoyo transversa'!CG61</f>
        <v>No Prog ni Ejec</v>
      </c>
      <c r="S261" s="228" t="s">
        <v>204</v>
      </c>
      <c r="T261" s="324">
        <f>+'Plan de Accion apoyo transversa'!BH61</f>
        <v>0</v>
      </c>
      <c r="U261" s="324">
        <f t="shared" si="237"/>
        <v>0</v>
      </c>
      <c r="V261" s="227" t="s">
        <v>204</v>
      </c>
      <c r="W261" s="229"/>
      <c r="X261" s="234">
        <f>+'Plan de Accion apoyo transversa'!BN61</f>
        <v>0</v>
      </c>
      <c r="Y261" s="266">
        <f>+'Plan de Accion apoyo transversa'!CI61</f>
        <v>0</v>
      </c>
      <c r="Z261" s="228">
        <f t="shared" ref="Z261:Z266" si="242">IF(Y261&gt;100%,100%,Y261)</f>
        <v>0</v>
      </c>
      <c r="AA261" s="233">
        <f>+'Plan de Accion apoyo transversa'!BR61</f>
        <v>0</v>
      </c>
      <c r="AB261" s="233">
        <f t="shared" si="238"/>
        <v>0</v>
      </c>
      <c r="AC261" s="232">
        <f t="shared" si="239"/>
        <v>0</v>
      </c>
      <c r="AD261" s="229"/>
      <c r="AE261" s="234">
        <f>+'Plan de Accion apoyo transversa'!BX61</f>
        <v>0</v>
      </c>
      <c r="AF261" s="266">
        <f>+'Plan de Accion apoyo transversa'!CK61</f>
        <v>0</v>
      </c>
      <c r="AG261" s="228" t="s">
        <v>204</v>
      </c>
      <c r="AH261" s="266">
        <f>+'Plan de Accion apoyo transversa'!CB61</f>
        <v>0</v>
      </c>
      <c r="AI261" s="227">
        <f t="shared" si="240"/>
        <v>0</v>
      </c>
      <c r="AJ261" s="237"/>
      <c r="AL261" s="331"/>
      <c r="AM261" s="238"/>
      <c r="AN261" s="220"/>
      <c r="AO261" s="331"/>
      <c r="AP261" s="238"/>
      <c r="AQ261" s="220"/>
      <c r="AR261" s="331"/>
      <c r="AS261" s="238"/>
      <c r="AT261" s="220"/>
      <c r="AU261" s="331"/>
      <c r="AV261" s="238"/>
      <c r="AW261" s="218"/>
      <c r="AX261" s="237"/>
      <c r="AZ261" s="331"/>
      <c r="BA261" s="238"/>
      <c r="BB261" s="220"/>
      <c r="BC261" s="331"/>
      <c r="BD261" s="238"/>
      <c r="BE261" s="220"/>
      <c r="BF261" s="331"/>
      <c r="BG261" s="238"/>
      <c r="BH261" s="220"/>
      <c r="BI261" s="331"/>
      <c r="BJ261" s="238"/>
      <c r="BK261" s="218"/>
      <c r="BL261" s="237"/>
      <c r="BN261" s="331"/>
      <c r="BO261" s="238"/>
      <c r="BP261" s="220"/>
      <c r="BQ261" s="331"/>
      <c r="BR261" s="238"/>
      <c r="BS261" s="220"/>
      <c r="BT261" s="331"/>
      <c r="BU261" s="238"/>
      <c r="BV261" s="220"/>
      <c r="BW261" s="331"/>
      <c r="BX261" s="238"/>
      <c r="BY261" s="218"/>
      <c r="BZ261" s="237"/>
      <c r="CB261" s="331"/>
      <c r="CC261" s="238"/>
      <c r="CD261" s="220"/>
      <c r="CE261" s="331"/>
      <c r="CF261" s="238"/>
      <c r="CG261" s="220"/>
      <c r="CH261" s="331"/>
      <c r="CI261" s="238"/>
      <c r="CJ261" s="220"/>
      <c r="CK261" s="331"/>
      <c r="CL261" s="238"/>
      <c r="CM261" s="218"/>
      <c r="CN261" s="237"/>
    </row>
    <row r="262" spans="2:92" ht="57.75" thickBot="1" x14ac:dyDescent="0.25">
      <c r="B262" s="1228"/>
      <c r="C262" s="1241"/>
      <c r="D262" s="1210"/>
      <c r="E262" s="1212"/>
      <c r="F262" s="1210"/>
      <c r="G262" s="335" t="str">
        <f>+'Plan de Accion apoyo transversa'!X62</f>
        <v>Programa de manejo de sustancias químicas (Sistema Globalmente armonizado) elaborado</v>
      </c>
      <c r="H262" s="231" t="str">
        <f>+'Plan de Accion apoyo transversa'!AK62</f>
        <v># de actividades realizadas</v>
      </c>
      <c r="J262" s="234">
        <f>+'Plan de Accion apoyo transversa'!AT62</f>
        <v>0</v>
      </c>
      <c r="K262" s="503" t="str">
        <f>+'Plan de Accion apoyo transversa'!CE62</f>
        <v>No Prog ni Ejec</v>
      </c>
      <c r="L262" s="503" t="s">
        <v>204</v>
      </c>
      <c r="M262" s="732" t="s">
        <v>204</v>
      </c>
      <c r="N262" s="732" t="s">
        <v>204</v>
      </c>
      <c r="O262" s="505" t="s">
        <v>204</v>
      </c>
      <c r="P262" s="229"/>
      <c r="Q262" s="234">
        <f>+'Plan de Accion apoyo transversa'!BD62</f>
        <v>0</v>
      </c>
      <c r="R262" s="266" t="str">
        <f>+'Plan de Accion apoyo transversa'!CG62</f>
        <v>No Prog ni Ejec</v>
      </c>
      <c r="S262" s="228" t="s">
        <v>204</v>
      </c>
      <c r="T262" s="324" t="s">
        <v>204</v>
      </c>
      <c r="U262" s="324" t="s">
        <v>204</v>
      </c>
      <c r="V262" s="227" t="s">
        <v>204</v>
      </c>
      <c r="W262" s="229"/>
      <c r="X262" s="234">
        <f>+'Plan de Accion apoyo transversa'!BN62</f>
        <v>0</v>
      </c>
      <c r="Y262" s="266">
        <f>+'Plan de Accion apoyo transversa'!CI62</f>
        <v>0</v>
      </c>
      <c r="Z262" s="228">
        <f t="shared" ref="Z262" si="243">IF(Y262&gt;100%,100%,Y262)</f>
        <v>0</v>
      </c>
      <c r="AA262" s="233">
        <f>+'Plan de Accion apoyo transversa'!BR62</f>
        <v>0</v>
      </c>
      <c r="AB262" s="233">
        <f t="shared" ref="AB262" si="244">IF(AA262&gt;100%,100%,AA262)</f>
        <v>0</v>
      </c>
      <c r="AC262" s="232">
        <f t="shared" ref="AC262" si="245">+AB262</f>
        <v>0</v>
      </c>
      <c r="AD262" s="229"/>
      <c r="AE262" s="234">
        <f>+'Plan de Accion apoyo transversa'!BX62</f>
        <v>0</v>
      </c>
      <c r="AF262" s="266" t="str">
        <f>+'Plan de Accion apoyo transversa'!CK62</f>
        <v>No Prog ni Ejec</v>
      </c>
      <c r="AG262" s="228" t="s">
        <v>204</v>
      </c>
      <c r="AH262" s="266">
        <f>+'Plan de Accion apoyo transversa'!CB62</f>
        <v>0</v>
      </c>
      <c r="AI262" s="227">
        <f t="shared" si="240"/>
        <v>0</v>
      </c>
      <c r="AJ262" s="237"/>
      <c r="AL262" s="331"/>
      <c r="AM262" s="238"/>
      <c r="AN262" s="220"/>
      <c r="AO262" s="331"/>
      <c r="AP262" s="238"/>
      <c r="AQ262" s="220"/>
      <c r="AR262" s="331"/>
      <c r="AS262" s="238"/>
      <c r="AT262" s="220"/>
      <c r="AU262" s="331"/>
      <c r="AV262" s="238"/>
      <c r="AW262" s="218"/>
      <c r="AX262" s="237"/>
      <c r="AZ262" s="331"/>
      <c r="BA262" s="238"/>
      <c r="BB262" s="220"/>
      <c r="BC262" s="331"/>
      <c r="BD262" s="238"/>
      <c r="BE262" s="220"/>
      <c r="BF262" s="331"/>
      <c r="BG262" s="238"/>
      <c r="BH262" s="220"/>
      <c r="BI262" s="331"/>
      <c r="BJ262" s="238"/>
      <c r="BK262" s="218"/>
      <c r="BL262" s="237"/>
      <c r="BN262" s="331"/>
      <c r="BO262" s="238"/>
      <c r="BP262" s="220"/>
      <c r="BQ262" s="331"/>
      <c r="BR262" s="238"/>
      <c r="BS262" s="220"/>
      <c r="BT262" s="331"/>
      <c r="BU262" s="238"/>
      <c r="BV262" s="220"/>
      <c r="BW262" s="331"/>
      <c r="BX262" s="238"/>
      <c r="BY262" s="218"/>
      <c r="BZ262" s="237"/>
      <c r="CB262" s="331"/>
      <c r="CC262" s="238"/>
      <c r="CD262" s="220"/>
      <c r="CE262" s="331"/>
      <c r="CF262" s="238"/>
      <c r="CG262" s="220"/>
      <c r="CH262" s="331"/>
      <c r="CI262" s="238"/>
      <c r="CJ262" s="220"/>
      <c r="CK262" s="331"/>
      <c r="CL262" s="238"/>
      <c r="CM262" s="218"/>
      <c r="CN262" s="237"/>
    </row>
    <row r="263" spans="2:92" ht="43.5" thickBot="1" x14ac:dyDescent="0.25">
      <c r="B263" s="1228"/>
      <c r="C263" s="1241"/>
      <c r="D263" s="1210"/>
      <c r="E263" s="1212"/>
      <c r="F263" s="1210"/>
      <c r="G263" s="335" t="str">
        <f>+'Plan de Accion apoyo transversa'!X66</f>
        <v>Jornada de divulgación  del programa de inspecciones  realizada</v>
      </c>
      <c r="H263" s="231" t="str">
        <f>+'Plan de Accion apoyo transversa'!AK66</f>
        <v># de actividades realizadas</v>
      </c>
      <c r="J263" s="234">
        <f>+'Plan de Accion apoyo transversa'!AT66</f>
        <v>0</v>
      </c>
      <c r="K263" s="503" t="str">
        <f>+'Plan de Accion apoyo transversa'!CE66</f>
        <v>No Prog ni Ejec</v>
      </c>
      <c r="L263" s="503" t="s">
        <v>204</v>
      </c>
      <c r="M263" s="503">
        <f>+'Plan de Accion apoyo transversa'!AX66</f>
        <v>0</v>
      </c>
      <c r="N263" s="503">
        <f t="shared" si="226"/>
        <v>0</v>
      </c>
      <c r="O263" s="505" t="s">
        <v>204</v>
      </c>
      <c r="P263" s="229"/>
      <c r="Q263" s="234" t="s">
        <v>204</v>
      </c>
      <c r="R263" s="266" t="s">
        <v>180</v>
      </c>
      <c r="S263" s="228" t="s">
        <v>204</v>
      </c>
      <c r="T263" s="324" t="s">
        <v>204</v>
      </c>
      <c r="U263" s="324" t="s">
        <v>204</v>
      </c>
      <c r="V263" s="227" t="str">
        <f>+U263</f>
        <v>N.A</v>
      </c>
      <c r="W263" s="229"/>
      <c r="X263" s="234" t="s">
        <v>204</v>
      </c>
      <c r="Y263" s="266" t="str">
        <f>+'Plan de Accion apoyo transversa'!CI66</f>
        <v>No Prog ni Ejec</v>
      </c>
      <c r="Z263" s="228" t="s">
        <v>204</v>
      </c>
      <c r="AA263" s="233" t="s">
        <v>204</v>
      </c>
      <c r="AB263" s="233" t="s">
        <v>204</v>
      </c>
      <c r="AC263" s="232" t="str">
        <f t="shared" si="239"/>
        <v>N.A</v>
      </c>
      <c r="AD263" s="229"/>
      <c r="AE263" s="234" t="s">
        <v>204</v>
      </c>
      <c r="AF263" s="266" t="str">
        <f>+'Plan de Accion apoyo transversa'!CK66</f>
        <v>No Prog ni Ejec</v>
      </c>
      <c r="AG263" s="228" t="s">
        <v>204</v>
      </c>
      <c r="AH263" s="266" t="s">
        <v>204</v>
      </c>
      <c r="AI263" s="227" t="s">
        <v>204</v>
      </c>
      <c r="AJ263" s="237"/>
      <c r="AL263" s="331"/>
      <c r="AM263" s="238"/>
      <c r="AN263" s="220"/>
      <c r="AO263" s="331"/>
      <c r="AP263" s="238"/>
      <c r="AQ263" s="220"/>
      <c r="AR263" s="331"/>
      <c r="AS263" s="238"/>
      <c r="AT263" s="220"/>
      <c r="AU263" s="331"/>
      <c r="AV263" s="238"/>
      <c r="AW263" s="218"/>
      <c r="AX263" s="237"/>
      <c r="AZ263" s="331"/>
      <c r="BA263" s="238"/>
      <c r="BB263" s="220"/>
      <c r="BC263" s="331"/>
      <c r="BD263" s="238"/>
      <c r="BE263" s="220"/>
      <c r="BF263" s="331"/>
      <c r="BG263" s="238"/>
      <c r="BH263" s="220"/>
      <c r="BI263" s="331"/>
      <c r="BJ263" s="238"/>
      <c r="BK263" s="218"/>
      <c r="BL263" s="237"/>
      <c r="BN263" s="331"/>
      <c r="BO263" s="238"/>
      <c r="BP263" s="220"/>
      <c r="BQ263" s="331"/>
      <c r="BR263" s="238"/>
      <c r="BS263" s="220"/>
      <c r="BT263" s="331"/>
      <c r="BU263" s="238"/>
      <c r="BV263" s="220"/>
      <c r="BW263" s="331"/>
      <c r="BX263" s="238"/>
      <c r="BY263" s="218"/>
      <c r="BZ263" s="237"/>
      <c r="CB263" s="331"/>
      <c r="CC263" s="238"/>
      <c r="CD263" s="220"/>
      <c r="CE263" s="331"/>
      <c r="CF263" s="238"/>
      <c r="CG263" s="220"/>
      <c r="CH263" s="331"/>
      <c r="CI263" s="238"/>
      <c r="CJ263" s="220"/>
      <c r="CK263" s="331"/>
      <c r="CL263" s="238"/>
      <c r="CM263" s="218"/>
      <c r="CN263" s="237"/>
    </row>
    <row r="264" spans="2:92" ht="43.5" thickBot="1" x14ac:dyDescent="0.25">
      <c r="B264" s="1228"/>
      <c r="C264" s="1241"/>
      <c r="D264" s="1210"/>
      <c r="E264" s="1212"/>
      <c r="F264" s="1210"/>
      <c r="G264" s="335" t="str">
        <f>+'Plan de Accion apoyo transversa'!X67</f>
        <v>Jornada de divulgación del programa de mantenimiento realizada</v>
      </c>
      <c r="H264" s="231" t="str">
        <f>+'Plan de Accion apoyo transversa'!AK67</f>
        <v># de actividades realizadas</v>
      </c>
      <c r="J264" s="234">
        <f>+'Plan de Accion apoyo transversa'!AT67</f>
        <v>0</v>
      </c>
      <c r="K264" s="503" t="str">
        <f>+'Plan de Accion apoyo transversa'!CE67</f>
        <v>No Prog ni Ejec</v>
      </c>
      <c r="L264" s="503" t="s">
        <v>204</v>
      </c>
      <c r="M264" s="503">
        <f>+'Plan de Accion apoyo transversa'!AX67</f>
        <v>0</v>
      </c>
      <c r="N264" s="503">
        <f t="shared" si="226"/>
        <v>0</v>
      </c>
      <c r="O264" s="505" t="s">
        <v>204</v>
      </c>
      <c r="P264" s="229"/>
      <c r="Q264" s="234" t="s">
        <v>204</v>
      </c>
      <c r="R264" s="266" t="s">
        <v>180</v>
      </c>
      <c r="S264" s="228" t="s">
        <v>204</v>
      </c>
      <c r="T264" s="579" t="s">
        <v>204</v>
      </c>
      <c r="U264" s="579" t="s">
        <v>204</v>
      </c>
      <c r="V264" s="227" t="str">
        <f>+U264</f>
        <v>N.A</v>
      </c>
      <c r="W264" s="229"/>
      <c r="X264" s="234" t="s">
        <v>204</v>
      </c>
      <c r="Y264" s="266" t="str">
        <f>+'Plan de Accion apoyo transversa'!CI67</f>
        <v>No Prog ni Ejec</v>
      </c>
      <c r="Z264" s="228" t="s">
        <v>204</v>
      </c>
      <c r="AA264" s="233" t="s">
        <v>204</v>
      </c>
      <c r="AB264" s="233" t="s">
        <v>204</v>
      </c>
      <c r="AC264" s="232" t="str">
        <f t="shared" ref="AC264" si="246">+AB264</f>
        <v>N.A</v>
      </c>
      <c r="AD264" s="229"/>
      <c r="AE264" s="234" t="s">
        <v>204</v>
      </c>
      <c r="AF264" s="266" t="s">
        <v>180</v>
      </c>
      <c r="AG264" s="228" t="s">
        <v>204</v>
      </c>
      <c r="AH264" s="266" t="s">
        <v>204</v>
      </c>
      <c r="AI264" s="227" t="s">
        <v>204</v>
      </c>
      <c r="AJ264" s="237"/>
      <c r="AL264" s="331"/>
      <c r="AM264" s="238"/>
      <c r="AN264" s="220"/>
      <c r="AO264" s="331"/>
      <c r="AP264" s="238"/>
      <c r="AQ264" s="220"/>
      <c r="AR264" s="331"/>
      <c r="AS264" s="238"/>
      <c r="AT264" s="220"/>
      <c r="AU264" s="331"/>
      <c r="AV264" s="238"/>
      <c r="AW264" s="218"/>
      <c r="AX264" s="237"/>
      <c r="AZ264" s="331"/>
      <c r="BA264" s="238"/>
      <c r="BB264" s="220"/>
      <c r="BC264" s="331"/>
      <c r="BD264" s="238"/>
      <c r="BE264" s="220"/>
      <c r="BF264" s="331"/>
      <c r="BG264" s="238"/>
      <c r="BH264" s="220"/>
      <c r="BI264" s="331"/>
      <c r="BJ264" s="238"/>
      <c r="BK264" s="218"/>
      <c r="BL264" s="237"/>
      <c r="BN264" s="331"/>
      <c r="BO264" s="238"/>
      <c r="BP264" s="220"/>
      <c r="BQ264" s="331"/>
      <c r="BR264" s="238"/>
      <c r="BS264" s="220"/>
      <c r="BT264" s="331"/>
      <c r="BU264" s="238"/>
      <c r="BV264" s="220"/>
      <c r="BW264" s="331"/>
      <c r="BX264" s="238"/>
      <c r="BY264" s="218"/>
      <c r="BZ264" s="237"/>
      <c r="CB264" s="331"/>
      <c r="CC264" s="238"/>
      <c r="CD264" s="220"/>
      <c r="CE264" s="331"/>
      <c r="CF264" s="238"/>
      <c r="CG264" s="220"/>
      <c r="CH264" s="331"/>
      <c r="CI264" s="238"/>
      <c r="CJ264" s="220"/>
      <c r="CK264" s="331"/>
      <c r="CL264" s="238"/>
      <c r="CM264" s="218"/>
      <c r="CN264" s="237"/>
    </row>
    <row r="265" spans="2:92" ht="72" thickBot="1" x14ac:dyDescent="0.25">
      <c r="B265" s="1228"/>
      <c r="C265" s="1241"/>
      <c r="D265" s="1210"/>
      <c r="E265" s="1212"/>
      <c r="F265" s="1210"/>
      <c r="G265" s="335" t="str">
        <f>+'Plan de Accion apoyo transversa'!X68</f>
        <v>Informes de resultado de la investigación</v>
      </c>
      <c r="H265" s="231" t="str">
        <f>+'Plan de Accion apoyo transversa'!AK68</f>
        <v># Informes de resultado de la investigación / # eventos de incidentes, accidentes de trabajo y/o enfermedades reportados</v>
      </c>
      <c r="J265" s="323">
        <f>+'Plan de Accion apoyo transversa'!AT68</f>
        <v>0.25</v>
      </c>
      <c r="K265" s="503">
        <f>+'Plan de Accion apoyo transversa'!CE68</f>
        <v>1</v>
      </c>
      <c r="L265" s="503">
        <f>IF(K265&gt;100%,100%,K265)</f>
        <v>1</v>
      </c>
      <c r="M265" s="503">
        <f>+'Plan de Accion apoyo transversa'!AX68</f>
        <v>0.25</v>
      </c>
      <c r="N265" s="503">
        <f t="shared" si="226"/>
        <v>0.25</v>
      </c>
      <c r="O265" s="505">
        <f>+N265</f>
        <v>0.25</v>
      </c>
      <c r="P265" s="229"/>
      <c r="Q265" s="230">
        <f>+'Plan de Accion apoyo transversa'!BD68</f>
        <v>0.25</v>
      </c>
      <c r="R265" s="266">
        <f>+'Plan de Accion apoyo transversa'!CG68</f>
        <v>1</v>
      </c>
      <c r="S265" s="228">
        <f>IF(R265&gt;100%,100%,R265)</f>
        <v>1</v>
      </c>
      <c r="T265" s="324">
        <f>+'Plan de Accion apoyo transversa'!BH68</f>
        <v>0.5</v>
      </c>
      <c r="U265" s="324">
        <f t="shared" ref="U265:U266" si="247">IF(T265&gt;100%,100%,T265)</f>
        <v>0.5</v>
      </c>
      <c r="V265" s="227">
        <f>+U265</f>
        <v>0.5</v>
      </c>
      <c r="W265" s="229"/>
      <c r="X265" s="230">
        <f>+'Plan de Accion apoyo transversa'!BN68</f>
        <v>0</v>
      </c>
      <c r="Y265" s="266">
        <f>+'Plan de Accion apoyo transversa'!CI68</f>
        <v>0</v>
      </c>
      <c r="Z265" s="228">
        <f t="shared" si="242"/>
        <v>0</v>
      </c>
      <c r="AA265" s="233">
        <f>+'Plan de Accion apoyo transversa'!BR68</f>
        <v>0.5</v>
      </c>
      <c r="AB265" s="233">
        <f t="shared" ref="AB265:AB290" si="248">IF(AA265&gt;100%,100%,AA265)</f>
        <v>0.5</v>
      </c>
      <c r="AC265" s="232">
        <f t="shared" si="239"/>
        <v>0.5</v>
      </c>
      <c r="AD265" s="229"/>
      <c r="AE265" s="230">
        <f>+'Plan de Accion apoyo transversa'!BX68</f>
        <v>0</v>
      </c>
      <c r="AF265" s="266">
        <f>+'Plan de Accion apoyo transversa'!CK68</f>
        <v>0</v>
      </c>
      <c r="AG265" s="228">
        <f>IF(AF265&gt;100%,100%,AF265)</f>
        <v>0</v>
      </c>
      <c r="AH265" s="266">
        <f>+'Plan de Accion apoyo transversa'!CB68</f>
        <v>0.5</v>
      </c>
      <c r="AI265" s="227">
        <f t="shared" ref="AI265:AI266" si="249">IF(AH265&gt;100%,100%,AH265)</f>
        <v>0.5</v>
      </c>
      <c r="AJ265" s="237"/>
      <c r="AL265" s="331"/>
      <c r="AM265" s="238"/>
      <c r="AN265" s="220"/>
      <c r="AO265" s="331"/>
      <c r="AP265" s="238"/>
      <c r="AQ265" s="220"/>
      <c r="AR265" s="331"/>
      <c r="AS265" s="238"/>
      <c r="AT265" s="220"/>
      <c r="AU265" s="331"/>
      <c r="AV265" s="238"/>
      <c r="AW265" s="218"/>
      <c r="AX265" s="237"/>
      <c r="AZ265" s="331"/>
      <c r="BA265" s="238"/>
      <c r="BB265" s="220"/>
      <c r="BC265" s="331"/>
      <c r="BD265" s="238"/>
      <c r="BE265" s="220"/>
      <c r="BF265" s="331"/>
      <c r="BG265" s="238"/>
      <c r="BH265" s="220"/>
      <c r="BI265" s="331"/>
      <c r="BJ265" s="238"/>
      <c r="BK265" s="218"/>
      <c r="BL265" s="237"/>
      <c r="BN265" s="331"/>
      <c r="BO265" s="238"/>
      <c r="BP265" s="220"/>
      <c r="BQ265" s="331"/>
      <c r="BR265" s="238"/>
      <c r="BS265" s="220"/>
      <c r="BT265" s="331"/>
      <c r="BU265" s="238"/>
      <c r="BV265" s="220"/>
      <c r="BW265" s="331"/>
      <c r="BX265" s="238"/>
      <c r="BY265" s="218"/>
      <c r="BZ265" s="237"/>
      <c r="CB265" s="331"/>
      <c r="CC265" s="238"/>
      <c r="CD265" s="220"/>
      <c r="CE265" s="331"/>
      <c r="CF265" s="238"/>
      <c r="CG265" s="220"/>
      <c r="CH265" s="331"/>
      <c r="CI265" s="238"/>
      <c r="CJ265" s="220"/>
      <c r="CK265" s="331"/>
      <c r="CL265" s="238"/>
      <c r="CM265" s="218"/>
      <c r="CN265" s="237"/>
    </row>
    <row r="266" spans="2:92" ht="86.25" thickBot="1" x14ac:dyDescent="0.25">
      <c r="B266" s="1228"/>
      <c r="C266" s="1241"/>
      <c r="D266" s="1210"/>
      <c r="E266" s="1212"/>
      <c r="F266" s="1210"/>
      <c r="G266" s="335" t="str">
        <f>+'Plan de Accion apoyo transversa'!X69</f>
        <v>Reuniones - Inspecciones - Acompañamiento y seguimiento en el desarrollo del Comité paritario de seguridad y Salud en el trabajo</v>
      </c>
      <c r="H266" s="231" t="str">
        <f>+'Plan de Accion apoyo transversa'!AK69</f>
        <v># de actividades realizadas</v>
      </c>
      <c r="J266" s="234">
        <f>+'Plan de Accion apoyo transversa'!AT69</f>
        <v>1</v>
      </c>
      <c r="K266" s="503">
        <f>+'Plan de Accion apoyo transversa'!CE69</f>
        <v>1</v>
      </c>
      <c r="L266" s="503">
        <f>IF(K266&gt;100%,100%,K266)</f>
        <v>1</v>
      </c>
      <c r="M266" s="503">
        <f>+'Plan de Accion apoyo transversa'!AX69</f>
        <v>0.25</v>
      </c>
      <c r="N266" s="503">
        <f t="shared" si="226"/>
        <v>0.25</v>
      </c>
      <c r="O266" s="505">
        <f>+N266</f>
        <v>0.25</v>
      </c>
      <c r="P266" s="229"/>
      <c r="Q266" s="234">
        <f>+'Plan de Accion apoyo transversa'!BD69</f>
        <v>1</v>
      </c>
      <c r="R266" s="266">
        <f>+'Plan de Accion apoyo transversa'!CG69</f>
        <v>1</v>
      </c>
      <c r="S266" s="228">
        <f>IF(R266&gt;100%,100%,R266)</f>
        <v>1</v>
      </c>
      <c r="T266" s="324">
        <f>+'Plan de Accion apoyo transversa'!BH69</f>
        <v>0.5</v>
      </c>
      <c r="U266" s="324">
        <f t="shared" si="247"/>
        <v>0.5</v>
      </c>
      <c r="V266" s="227">
        <f>+U266</f>
        <v>0.5</v>
      </c>
      <c r="W266" s="229"/>
      <c r="X266" s="234">
        <f>+'Plan de Accion apoyo transversa'!BN69</f>
        <v>0</v>
      </c>
      <c r="Y266" s="266">
        <f>+'Plan de Accion apoyo transversa'!CI69</f>
        <v>0</v>
      </c>
      <c r="Z266" s="228">
        <f t="shared" si="242"/>
        <v>0</v>
      </c>
      <c r="AA266" s="233">
        <f>+'Plan de Accion apoyo transversa'!BR69</f>
        <v>0.5</v>
      </c>
      <c r="AB266" s="233">
        <f t="shared" si="248"/>
        <v>0.5</v>
      </c>
      <c r="AC266" s="232">
        <f t="shared" si="239"/>
        <v>0.5</v>
      </c>
      <c r="AD266" s="229"/>
      <c r="AE266" s="234">
        <f>+'Plan de Accion apoyo transversa'!BX69</f>
        <v>0</v>
      </c>
      <c r="AF266" s="266">
        <f>+'Plan de Accion apoyo transversa'!CK69</f>
        <v>0</v>
      </c>
      <c r="AG266" s="228">
        <f>IF(AF266&gt;100%,100%,AF266)</f>
        <v>0</v>
      </c>
      <c r="AH266" s="266">
        <f>+'Plan de Accion apoyo transversa'!CB69</f>
        <v>0.5</v>
      </c>
      <c r="AI266" s="227">
        <f t="shared" si="249"/>
        <v>0.5</v>
      </c>
      <c r="AJ266" s="237"/>
      <c r="AL266" s="331"/>
      <c r="AM266" s="238"/>
      <c r="AN266" s="220"/>
      <c r="AO266" s="331"/>
      <c r="AP266" s="238"/>
      <c r="AQ266" s="220"/>
      <c r="AR266" s="331"/>
      <c r="AS266" s="238"/>
      <c r="AT266" s="220"/>
      <c r="AU266" s="331"/>
      <c r="AV266" s="238"/>
      <c r="AW266" s="218"/>
      <c r="AX266" s="237"/>
      <c r="AZ266" s="331"/>
      <c r="BA266" s="238"/>
      <c r="BB266" s="220"/>
      <c r="BC266" s="331"/>
      <c r="BD266" s="238"/>
      <c r="BE266" s="220"/>
      <c r="BF266" s="331"/>
      <c r="BG266" s="238"/>
      <c r="BH266" s="220"/>
      <c r="BI266" s="331"/>
      <c r="BJ266" s="238"/>
      <c r="BK266" s="218"/>
      <c r="BL266" s="237"/>
      <c r="BN266" s="331"/>
      <c r="BO266" s="238"/>
      <c r="BP266" s="220"/>
      <c r="BQ266" s="331"/>
      <c r="BR266" s="238"/>
      <c r="BS266" s="220"/>
      <c r="BT266" s="331"/>
      <c r="BU266" s="238"/>
      <c r="BV266" s="220"/>
      <c r="BW266" s="331"/>
      <c r="BX266" s="238"/>
      <c r="BY266" s="218"/>
      <c r="BZ266" s="237"/>
      <c r="CB266" s="331"/>
      <c r="CC266" s="238"/>
      <c r="CD266" s="220"/>
      <c r="CE266" s="331"/>
      <c r="CF266" s="238"/>
      <c r="CG266" s="220"/>
      <c r="CH266" s="331"/>
      <c r="CI266" s="238"/>
      <c r="CJ266" s="220"/>
      <c r="CK266" s="331"/>
      <c r="CL266" s="238"/>
      <c r="CM266" s="218"/>
      <c r="CN266" s="237"/>
    </row>
    <row r="267" spans="2:92" ht="57.75" thickBot="1" x14ac:dyDescent="0.25">
      <c r="B267" s="1228"/>
      <c r="C267" s="1241"/>
      <c r="D267" s="1210"/>
      <c r="E267" s="1212"/>
      <c r="F267" s="1210"/>
      <c r="G267" s="335" t="str">
        <f>+'Plan de Accion apoyo transversa'!X70</f>
        <v>Informe de la evaluación de cumplimiento del SG-SST de proveedores y contratistas "de personería jurídica"</v>
      </c>
      <c r="H267" s="231" t="str">
        <f>+'Plan de Accion apoyo transversa'!AK70</f>
        <v># de actividades realizadas</v>
      </c>
      <c r="J267" s="234">
        <f>+'Plan de Accion apoyo transversa'!AT70</f>
        <v>0</v>
      </c>
      <c r="K267" s="503" t="str">
        <f>+'Plan de Accion apoyo transversa'!CE70</f>
        <v>No Prog ni Ejec</v>
      </c>
      <c r="L267" s="503" t="s">
        <v>204</v>
      </c>
      <c r="M267" s="503">
        <f>+'Plan de Accion apoyo transversa'!AX70</f>
        <v>0</v>
      </c>
      <c r="N267" s="503">
        <f t="shared" si="226"/>
        <v>0</v>
      </c>
      <c r="O267" s="505" t="s">
        <v>204</v>
      </c>
      <c r="P267" s="229"/>
      <c r="Q267" s="234" t="s">
        <v>204</v>
      </c>
      <c r="R267" s="266" t="s">
        <v>180</v>
      </c>
      <c r="S267" s="228" t="s">
        <v>204</v>
      </c>
      <c r="T267" s="324" t="s">
        <v>204</v>
      </c>
      <c r="U267" s="324" t="s">
        <v>204</v>
      </c>
      <c r="V267" s="227" t="str">
        <f>+U267</f>
        <v>N.A</v>
      </c>
      <c r="W267" s="229"/>
      <c r="X267" s="234" t="s">
        <v>204</v>
      </c>
      <c r="Y267" s="266" t="str">
        <f>+'Plan de Accion apoyo transversa'!CI70</f>
        <v>No Prog ni Ejec</v>
      </c>
      <c r="Z267" s="228" t="s">
        <v>204</v>
      </c>
      <c r="AA267" s="233" t="s">
        <v>204</v>
      </c>
      <c r="AB267" s="233" t="s">
        <v>204</v>
      </c>
      <c r="AC267" s="232" t="str">
        <f t="shared" si="239"/>
        <v>N.A</v>
      </c>
      <c r="AD267" s="229"/>
      <c r="AE267" s="234" t="s">
        <v>204</v>
      </c>
      <c r="AF267" s="266" t="s">
        <v>180</v>
      </c>
      <c r="AG267" s="228" t="s">
        <v>204</v>
      </c>
      <c r="AH267" s="266" t="s">
        <v>204</v>
      </c>
      <c r="AI267" s="227" t="s">
        <v>204</v>
      </c>
      <c r="AJ267" s="237"/>
      <c r="AL267" s="331"/>
      <c r="AM267" s="238"/>
      <c r="AN267" s="220"/>
      <c r="AO267" s="331"/>
      <c r="AP267" s="238"/>
      <c r="AQ267" s="220"/>
      <c r="AR267" s="331"/>
      <c r="AS267" s="238"/>
      <c r="AT267" s="220"/>
      <c r="AU267" s="331"/>
      <c r="AV267" s="238"/>
      <c r="AW267" s="218"/>
      <c r="AX267" s="237"/>
      <c r="AZ267" s="331"/>
      <c r="BA267" s="238"/>
      <c r="BB267" s="220"/>
      <c r="BC267" s="331"/>
      <c r="BD267" s="238"/>
      <c r="BE267" s="220"/>
      <c r="BF267" s="331"/>
      <c r="BG267" s="238"/>
      <c r="BH267" s="220"/>
      <c r="BI267" s="331"/>
      <c r="BJ267" s="238"/>
      <c r="BK267" s="218"/>
      <c r="BL267" s="237"/>
      <c r="BN267" s="331"/>
      <c r="BO267" s="238"/>
      <c r="BP267" s="220"/>
      <c r="BQ267" s="331"/>
      <c r="BR267" s="238"/>
      <c r="BS267" s="220"/>
      <c r="BT267" s="331"/>
      <c r="BU267" s="238"/>
      <c r="BV267" s="220"/>
      <c r="BW267" s="331"/>
      <c r="BX267" s="238"/>
      <c r="BY267" s="218"/>
      <c r="BZ267" s="237"/>
      <c r="CB267" s="331"/>
      <c r="CC267" s="238"/>
      <c r="CD267" s="220"/>
      <c r="CE267" s="331"/>
      <c r="CF267" s="238"/>
      <c r="CG267" s="220"/>
      <c r="CH267" s="331"/>
      <c r="CI267" s="238"/>
      <c r="CJ267" s="220"/>
      <c r="CK267" s="331"/>
      <c r="CL267" s="238"/>
      <c r="CM267" s="218"/>
      <c r="CN267" s="237"/>
    </row>
    <row r="268" spans="2:92" ht="29.25" thickBot="1" x14ac:dyDescent="0.25">
      <c r="B268" s="1228"/>
      <c r="C268" s="1241"/>
      <c r="D268" s="1210"/>
      <c r="E268" s="1212"/>
      <c r="F268" s="1210"/>
      <c r="G268" s="335" t="str">
        <f>+'Plan de Accion apoyo transversa'!X71</f>
        <v>Informe de la auditoria interna del SG-SST</v>
      </c>
      <c r="H268" s="231" t="str">
        <f>+'Plan de Accion apoyo transversa'!AK71</f>
        <v># de actividades realizadas</v>
      </c>
      <c r="J268" s="234">
        <f>+'Plan de Accion apoyo transversa'!AT71</f>
        <v>0</v>
      </c>
      <c r="K268" s="503" t="str">
        <f>+'Plan de Accion apoyo transversa'!CE71</f>
        <v>No Prog ni Ejec</v>
      </c>
      <c r="L268" s="503" t="s">
        <v>204</v>
      </c>
      <c r="M268" s="503">
        <f>+'Plan de Accion apoyo transversa'!AX71</f>
        <v>0</v>
      </c>
      <c r="N268" s="503">
        <f t="shared" si="226"/>
        <v>0</v>
      </c>
      <c r="O268" s="505" t="s">
        <v>204</v>
      </c>
      <c r="P268" s="229"/>
      <c r="Q268" s="234" t="s">
        <v>204</v>
      </c>
      <c r="R268" s="266" t="str">
        <f>+'Plan de Accion apoyo transversa'!CG71</f>
        <v>No Prog ni Ejec</v>
      </c>
      <c r="S268" s="228" t="s">
        <v>204</v>
      </c>
      <c r="T268" s="324" t="s">
        <v>204</v>
      </c>
      <c r="U268" s="324" t="s">
        <v>204</v>
      </c>
      <c r="V268" s="227" t="s">
        <v>204</v>
      </c>
      <c r="W268" s="229"/>
      <c r="X268" s="234" t="s">
        <v>204</v>
      </c>
      <c r="Y268" s="266" t="str">
        <f>+'Plan de Accion apoyo transversa'!CI71</f>
        <v>No Prog ni Ejec</v>
      </c>
      <c r="Z268" s="228" t="s">
        <v>204</v>
      </c>
      <c r="AA268" s="233" t="s">
        <v>204</v>
      </c>
      <c r="AB268" s="233" t="s">
        <v>204</v>
      </c>
      <c r="AC268" s="232" t="s">
        <v>204</v>
      </c>
      <c r="AD268" s="229"/>
      <c r="AE268" s="234" t="s">
        <v>204</v>
      </c>
      <c r="AF268" s="266" t="s">
        <v>180</v>
      </c>
      <c r="AG268" s="228" t="s">
        <v>204</v>
      </c>
      <c r="AH268" s="266" t="s">
        <v>204</v>
      </c>
      <c r="AI268" s="227" t="s">
        <v>204</v>
      </c>
      <c r="AJ268" s="237"/>
      <c r="AL268" s="331"/>
      <c r="AM268" s="238"/>
      <c r="AN268" s="220"/>
      <c r="AO268" s="331"/>
      <c r="AP268" s="238"/>
      <c r="AQ268" s="220"/>
      <c r="AR268" s="331"/>
      <c r="AS268" s="238"/>
      <c r="AT268" s="220"/>
      <c r="AU268" s="331"/>
      <c r="AV268" s="238"/>
      <c r="AW268" s="218"/>
      <c r="AX268" s="237"/>
      <c r="AZ268" s="331"/>
      <c r="BA268" s="238"/>
      <c r="BB268" s="220"/>
      <c r="BC268" s="331"/>
      <c r="BD268" s="238"/>
      <c r="BE268" s="220"/>
      <c r="BF268" s="331"/>
      <c r="BG268" s="238"/>
      <c r="BH268" s="220"/>
      <c r="BI268" s="331"/>
      <c r="BJ268" s="238"/>
      <c r="BK268" s="218"/>
      <c r="BL268" s="237"/>
      <c r="BN268" s="331"/>
      <c r="BO268" s="238"/>
      <c r="BP268" s="220"/>
      <c r="BQ268" s="331"/>
      <c r="BR268" s="238"/>
      <c r="BS268" s="220"/>
      <c r="BT268" s="331"/>
      <c r="BU268" s="238"/>
      <c r="BV268" s="220"/>
      <c r="BW268" s="331"/>
      <c r="BX268" s="238"/>
      <c r="BY268" s="218"/>
      <c r="BZ268" s="237"/>
      <c r="CB268" s="331"/>
      <c r="CC268" s="238"/>
      <c r="CD268" s="220"/>
      <c r="CE268" s="331"/>
      <c r="CF268" s="238"/>
      <c r="CG268" s="220"/>
      <c r="CH268" s="331"/>
      <c r="CI268" s="238"/>
      <c r="CJ268" s="220"/>
      <c r="CK268" s="331"/>
      <c r="CL268" s="238"/>
      <c r="CM268" s="218"/>
      <c r="CN268" s="237"/>
    </row>
    <row r="269" spans="2:92" ht="57.75" thickBot="1" x14ac:dyDescent="0.25">
      <c r="B269" s="1228"/>
      <c r="C269" s="1241"/>
      <c r="D269" s="1210"/>
      <c r="E269" s="1212"/>
      <c r="F269" s="1210"/>
      <c r="G269" s="335" t="str">
        <f>+'Plan de Accion apoyo transversa'!X72</f>
        <v>Plan de acción de los hallazgos generados por auditoria interna o entes de control.</v>
      </c>
      <c r="H269" s="231" t="str">
        <f>+'Plan de Accion apoyo transversa'!AK72</f>
        <v># de actividades realizadas</v>
      </c>
      <c r="J269" s="234">
        <f>+'Plan de Accion apoyo transversa'!AT72</f>
        <v>0</v>
      </c>
      <c r="K269" s="503" t="str">
        <f>+'Plan de Accion apoyo transversa'!CE72</f>
        <v>No Prog ni Ejec</v>
      </c>
      <c r="L269" s="503" t="s">
        <v>204</v>
      </c>
      <c r="M269" s="503">
        <f>+'Plan de Accion apoyo transversa'!AX72</f>
        <v>0</v>
      </c>
      <c r="N269" s="503">
        <f t="shared" si="226"/>
        <v>0</v>
      </c>
      <c r="O269" s="505" t="s">
        <v>204</v>
      </c>
      <c r="P269" s="229"/>
      <c r="Q269" s="234" t="s">
        <v>204</v>
      </c>
      <c r="R269" s="266" t="str">
        <f>+'Plan de Accion apoyo transversa'!CG72</f>
        <v>No Prog ni Ejec</v>
      </c>
      <c r="S269" s="228" t="s">
        <v>204</v>
      </c>
      <c r="T269" s="324" t="s">
        <v>204</v>
      </c>
      <c r="U269" s="324" t="s">
        <v>204</v>
      </c>
      <c r="V269" s="227" t="s">
        <v>204</v>
      </c>
      <c r="W269" s="229"/>
      <c r="X269" s="234" t="s">
        <v>204</v>
      </c>
      <c r="Y269" s="266" t="str">
        <f>+'Plan de Accion apoyo transversa'!CI72</f>
        <v>No Prog ni Ejec</v>
      </c>
      <c r="Z269" s="228" t="s">
        <v>204</v>
      </c>
      <c r="AA269" s="233" t="s">
        <v>204</v>
      </c>
      <c r="AB269" s="233" t="s">
        <v>204</v>
      </c>
      <c r="AC269" s="232" t="s">
        <v>204</v>
      </c>
      <c r="AD269" s="229"/>
      <c r="AE269" s="234" t="s">
        <v>204</v>
      </c>
      <c r="AF269" s="266" t="s">
        <v>180</v>
      </c>
      <c r="AG269" s="228" t="s">
        <v>204</v>
      </c>
      <c r="AH269" s="266" t="s">
        <v>204</v>
      </c>
      <c r="AI269" s="227" t="s">
        <v>204</v>
      </c>
      <c r="AJ269" s="237"/>
      <c r="AL269" s="331"/>
      <c r="AM269" s="238"/>
      <c r="AN269" s="220"/>
      <c r="AO269" s="331"/>
      <c r="AP269" s="238"/>
      <c r="AQ269" s="220"/>
      <c r="AR269" s="331"/>
      <c r="AS269" s="238"/>
      <c r="AT269" s="220"/>
      <c r="AU269" s="331"/>
      <c r="AV269" s="238"/>
      <c r="AW269" s="218"/>
      <c r="AX269" s="237"/>
      <c r="AZ269" s="331"/>
      <c r="BA269" s="238"/>
      <c r="BB269" s="220"/>
      <c r="BC269" s="331"/>
      <c r="BD269" s="238"/>
      <c r="BE269" s="220"/>
      <c r="BF269" s="331"/>
      <c r="BG269" s="238"/>
      <c r="BH269" s="220"/>
      <c r="BI269" s="331"/>
      <c r="BJ269" s="238"/>
      <c r="BK269" s="218"/>
      <c r="BL269" s="237"/>
      <c r="BN269" s="331"/>
      <c r="BO269" s="238"/>
      <c r="BP269" s="220"/>
      <c r="BQ269" s="331"/>
      <c r="BR269" s="238"/>
      <c r="BS269" s="220"/>
      <c r="BT269" s="331"/>
      <c r="BU269" s="238"/>
      <c r="BV269" s="220"/>
      <c r="BW269" s="331"/>
      <c r="BX269" s="238"/>
      <c r="BY269" s="218"/>
      <c r="BZ269" s="237"/>
      <c r="CB269" s="331"/>
      <c r="CC269" s="238"/>
      <c r="CD269" s="220"/>
      <c r="CE269" s="331"/>
      <c r="CF269" s="238"/>
      <c r="CG269" s="220"/>
      <c r="CH269" s="331"/>
      <c r="CI269" s="238"/>
      <c r="CJ269" s="220"/>
      <c r="CK269" s="331"/>
      <c r="CL269" s="238"/>
      <c r="CM269" s="218"/>
      <c r="CN269" s="237"/>
    </row>
    <row r="270" spans="2:92" ht="15.75" thickBot="1" x14ac:dyDescent="0.25">
      <c r="B270" s="1228"/>
      <c r="C270" s="1241"/>
      <c r="D270" s="1210"/>
      <c r="E270" s="1212"/>
      <c r="F270" s="1210"/>
      <c r="G270" s="335" t="str">
        <f>+'Plan de Accion apoyo transversa'!X73</f>
        <v>Profesiograma elaborado</v>
      </c>
      <c r="H270" s="231" t="str">
        <f>+'Plan de Accion apoyo transversa'!AK73</f>
        <v># Profesiogramas elaborados</v>
      </c>
      <c r="J270" s="234">
        <f>+'Plan de Accion apoyo transversa'!AT73</f>
        <v>0</v>
      </c>
      <c r="K270" s="503" t="str">
        <f>+'Plan de Accion apoyo transversa'!CE73</f>
        <v>No Prog ni Ejec</v>
      </c>
      <c r="L270" s="503" t="s">
        <v>204</v>
      </c>
      <c r="M270" s="503">
        <f>+'Plan de Accion apoyo transversa'!AX73</f>
        <v>0</v>
      </c>
      <c r="N270" s="503">
        <f t="shared" si="226"/>
        <v>0</v>
      </c>
      <c r="O270" s="505" t="s">
        <v>204</v>
      </c>
      <c r="P270" s="229"/>
      <c r="Q270" s="234" t="s">
        <v>204</v>
      </c>
      <c r="R270" s="266" t="str">
        <f>+'Plan de Accion apoyo transversa'!CG73</f>
        <v>No Prog ni Ejec</v>
      </c>
      <c r="S270" s="228" t="s">
        <v>204</v>
      </c>
      <c r="T270" s="324" t="s">
        <v>204</v>
      </c>
      <c r="U270" s="324" t="s">
        <v>204</v>
      </c>
      <c r="V270" s="227" t="s">
        <v>204</v>
      </c>
      <c r="W270" s="229"/>
      <c r="X270" s="234" t="s">
        <v>204</v>
      </c>
      <c r="Y270" s="266" t="str">
        <f>+'Plan de Accion apoyo transversa'!CI73</f>
        <v>No Prog ni Ejec</v>
      </c>
      <c r="Z270" s="228" t="s">
        <v>204</v>
      </c>
      <c r="AA270" s="233" t="s">
        <v>204</v>
      </c>
      <c r="AB270" s="233" t="s">
        <v>204</v>
      </c>
      <c r="AC270" s="232" t="s">
        <v>204</v>
      </c>
      <c r="AD270" s="229"/>
      <c r="AE270" s="234" t="s">
        <v>204</v>
      </c>
      <c r="AF270" s="266" t="s">
        <v>180</v>
      </c>
      <c r="AG270" s="228" t="s">
        <v>204</v>
      </c>
      <c r="AH270" s="266" t="s">
        <v>204</v>
      </c>
      <c r="AI270" s="227" t="s">
        <v>204</v>
      </c>
      <c r="AJ270" s="237"/>
      <c r="AL270" s="331"/>
      <c r="AM270" s="238"/>
      <c r="AN270" s="220"/>
      <c r="AO270" s="331"/>
      <c r="AP270" s="238"/>
      <c r="AQ270" s="220"/>
      <c r="AR270" s="331"/>
      <c r="AS270" s="238"/>
      <c r="AT270" s="220"/>
      <c r="AU270" s="331"/>
      <c r="AV270" s="238"/>
      <c r="AW270" s="218"/>
      <c r="AX270" s="237"/>
      <c r="AZ270" s="331"/>
      <c r="BA270" s="238"/>
      <c r="BB270" s="220"/>
      <c r="BC270" s="331"/>
      <c r="BD270" s="238"/>
      <c r="BE270" s="220"/>
      <c r="BF270" s="331"/>
      <c r="BG270" s="238"/>
      <c r="BH270" s="220"/>
      <c r="BI270" s="331"/>
      <c r="BJ270" s="238"/>
      <c r="BK270" s="218"/>
      <c r="BL270" s="237"/>
      <c r="BN270" s="331"/>
      <c r="BO270" s="238"/>
      <c r="BP270" s="220"/>
      <c r="BQ270" s="331"/>
      <c r="BR270" s="238"/>
      <c r="BS270" s="220"/>
      <c r="BT270" s="331"/>
      <c r="BU270" s="238"/>
      <c r="BV270" s="220"/>
      <c r="BW270" s="331"/>
      <c r="BX270" s="238"/>
      <c r="BY270" s="218"/>
      <c r="BZ270" s="237"/>
      <c r="CB270" s="331"/>
      <c r="CC270" s="238"/>
      <c r="CD270" s="220"/>
      <c r="CE270" s="331"/>
      <c r="CF270" s="238"/>
      <c r="CG270" s="220"/>
      <c r="CH270" s="331"/>
      <c r="CI270" s="238"/>
      <c r="CJ270" s="220"/>
      <c r="CK270" s="331"/>
      <c r="CL270" s="238"/>
      <c r="CM270" s="218"/>
      <c r="CN270" s="237"/>
    </row>
    <row r="271" spans="2:92" ht="83.25" customHeight="1" thickBot="1" x14ac:dyDescent="0.25">
      <c r="B271" s="1228"/>
      <c r="C271" s="1241"/>
      <c r="D271" s="1210"/>
      <c r="E271" s="1212"/>
      <c r="F271" s="1203"/>
      <c r="G271" s="335" t="str">
        <f>+'Plan de Accion apoyo transversa'!X74</f>
        <v>Documento de estudios ambientales elaborado
Documento de estudios ergonómicos en salud ocupacional elaborado</v>
      </c>
      <c r="H271" s="231" t="str">
        <f>+'Plan de Accion apoyo transversa'!AK74</f>
        <v># Estudios ambientales y ergonómicos realizados</v>
      </c>
      <c r="J271" s="234">
        <f>+'Plan de Accion apoyo transversa'!AT74</f>
        <v>0</v>
      </c>
      <c r="K271" s="503" t="str">
        <f>+'Plan de Accion apoyo transversa'!CE74</f>
        <v>No Prog ni Ejec</v>
      </c>
      <c r="L271" s="503" t="s">
        <v>204</v>
      </c>
      <c r="M271" s="503">
        <f>+'Plan de Accion apoyo transversa'!AX74</f>
        <v>0</v>
      </c>
      <c r="N271" s="503">
        <f t="shared" si="226"/>
        <v>0</v>
      </c>
      <c r="O271" s="505" t="s">
        <v>204</v>
      </c>
      <c r="P271" s="229"/>
      <c r="Q271" s="234">
        <f>+'Plan de Accion apoyo transversa'!BD74</f>
        <v>0</v>
      </c>
      <c r="R271" s="266" t="str">
        <f>+'Plan de Accion apoyo transversa'!CG74</f>
        <v>No Prog ni Ejec</v>
      </c>
      <c r="S271" s="228" t="s">
        <v>204</v>
      </c>
      <c r="T271" s="324">
        <f>+'Plan de Accion apoyo transversa'!BH74</f>
        <v>0</v>
      </c>
      <c r="U271" s="324">
        <f t="shared" ref="U271:U303" si="250">IF(T271&gt;100%,100%,T271)</f>
        <v>0</v>
      </c>
      <c r="V271" s="227" t="s">
        <v>204</v>
      </c>
      <c r="W271" s="229"/>
      <c r="X271" s="234">
        <f>+'Plan de Accion apoyo transversa'!BN74</f>
        <v>0</v>
      </c>
      <c r="Y271" s="266">
        <f>+'Plan de Accion apoyo transversa'!CI74</f>
        <v>0</v>
      </c>
      <c r="Z271" s="228">
        <f>IF(Y271&gt;100%,100%,Y271)</f>
        <v>0</v>
      </c>
      <c r="AA271" s="233">
        <f>+'Plan de Accion apoyo transversa'!BR74</f>
        <v>0</v>
      </c>
      <c r="AB271" s="233">
        <f t="shared" si="248"/>
        <v>0</v>
      </c>
      <c r="AC271" s="232">
        <f t="shared" ref="AC271:AC280" si="251">+AB271</f>
        <v>0</v>
      </c>
      <c r="AD271" s="229"/>
      <c r="AE271" s="234">
        <f>+'Plan de Accion apoyo transversa'!BX74</f>
        <v>0</v>
      </c>
      <c r="AF271" s="266" t="str">
        <f>+'Plan de Accion apoyo transversa'!CK74</f>
        <v>No Prog ni Ejec</v>
      </c>
      <c r="AG271" s="228" t="s">
        <v>204</v>
      </c>
      <c r="AH271" s="266">
        <f>+'Plan de Accion apoyo transversa'!CB74</f>
        <v>0</v>
      </c>
      <c r="AI271" s="227">
        <f t="shared" ref="AI271:AI303" si="252">IF(AH271&gt;100%,100%,AH271)</f>
        <v>0</v>
      </c>
      <c r="AJ271" s="237"/>
      <c r="AL271" s="331"/>
      <c r="AM271" s="238"/>
      <c r="AN271" s="220"/>
      <c r="AO271" s="331"/>
      <c r="AP271" s="238"/>
      <c r="AQ271" s="220"/>
      <c r="AR271" s="331"/>
      <c r="AS271" s="238"/>
      <c r="AT271" s="220"/>
      <c r="AU271" s="331"/>
      <c r="AV271" s="238"/>
      <c r="AW271" s="218"/>
      <c r="AX271" s="237"/>
      <c r="AZ271" s="331"/>
      <c r="BA271" s="238"/>
      <c r="BB271" s="220"/>
      <c r="BC271" s="331"/>
      <c r="BD271" s="238"/>
      <c r="BE271" s="220"/>
      <c r="BF271" s="331"/>
      <c r="BG271" s="238"/>
      <c r="BH271" s="220"/>
      <c r="BI271" s="331"/>
      <c r="BJ271" s="238"/>
      <c r="BK271" s="218"/>
      <c r="BL271" s="237"/>
      <c r="BN271" s="331"/>
      <c r="BO271" s="238"/>
      <c r="BP271" s="220"/>
      <c r="BQ271" s="331"/>
      <c r="BR271" s="238"/>
      <c r="BS271" s="220"/>
      <c r="BT271" s="331"/>
      <c r="BU271" s="238"/>
      <c r="BV271" s="220"/>
      <c r="BW271" s="331"/>
      <c r="BX271" s="238"/>
      <c r="BY271" s="218"/>
      <c r="BZ271" s="237"/>
      <c r="CB271" s="331"/>
      <c r="CC271" s="238"/>
      <c r="CD271" s="220"/>
      <c r="CE271" s="331"/>
      <c r="CF271" s="238"/>
      <c r="CG271" s="220"/>
      <c r="CH271" s="331"/>
      <c r="CI271" s="238"/>
      <c r="CJ271" s="220"/>
      <c r="CK271" s="331"/>
      <c r="CL271" s="238"/>
      <c r="CM271" s="218"/>
      <c r="CN271" s="237"/>
    </row>
    <row r="272" spans="2:92" ht="29.25" thickBot="1" x14ac:dyDescent="0.25">
      <c r="B272" s="1228"/>
      <c r="C272" s="1241"/>
      <c r="D272" s="1210"/>
      <c r="E272" s="1212"/>
      <c r="F272" s="1202" t="s">
        <v>848</v>
      </c>
      <c r="G272" s="335" t="str">
        <f>+'Plan de Accion apoyo transversa'!X118</f>
        <v>Manual de funciones actualizado</v>
      </c>
      <c r="H272" s="231" t="str">
        <f>+'Plan de Accion apoyo transversa'!AK118</f>
        <v># Manual de funciones actualizados</v>
      </c>
      <c r="J272" s="234">
        <f>+'Plan de Accion apoyo transversa'!AT118</f>
        <v>0</v>
      </c>
      <c r="K272" s="503" t="str">
        <f>+'Plan de Accion apoyo transversa'!CE118</f>
        <v>No Prog ni Ejec</v>
      </c>
      <c r="L272" s="503" t="s">
        <v>204</v>
      </c>
      <c r="M272" s="503">
        <f>+'Plan de Accion apoyo transversa'!AX118</f>
        <v>0</v>
      </c>
      <c r="N272" s="503">
        <f t="shared" si="226"/>
        <v>0</v>
      </c>
      <c r="O272" s="505" t="s">
        <v>204</v>
      </c>
      <c r="P272" s="229"/>
      <c r="Q272" s="234">
        <f>+'Plan de Accion apoyo transversa'!BD118</f>
        <v>0</v>
      </c>
      <c r="R272" s="266" t="str">
        <f>+'Plan de Accion apoyo transversa'!CG118</f>
        <v>No Prog ni Ejec</v>
      </c>
      <c r="S272" s="228" t="s">
        <v>204</v>
      </c>
      <c r="T272" s="324">
        <f>+'Plan de Accion apoyo transversa'!BH118</f>
        <v>0</v>
      </c>
      <c r="U272" s="324">
        <f t="shared" si="250"/>
        <v>0</v>
      </c>
      <c r="V272" s="227" t="s">
        <v>204</v>
      </c>
      <c r="W272" s="229"/>
      <c r="X272" s="234">
        <f>+'Plan de Accion apoyo transversa'!BN118</f>
        <v>0</v>
      </c>
      <c r="Y272" s="266">
        <f>+'Plan de Accion apoyo transversa'!CI118</f>
        <v>0</v>
      </c>
      <c r="Z272" s="228">
        <f>IF(Y272&gt;100%,100%,Y272)</f>
        <v>0</v>
      </c>
      <c r="AA272" s="233">
        <f>+'Plan de Accion apoyo transversa'!BR118</f>
        <v>0</v>
      </c>
      <c r="AB272" s="233">
        <f t="shared" si="248"/>
        <v>0</v>
      </c>
      <c r="AC272" s="232">
        <f t="shared" si="251"/>
        <v>0</v>
      </c>
      <c r="AD272" s="229"/>
      <c r="AE272" s="234">
        <f>+'Plan de Accion apoyo transversa'!BX118</f>
        <v>0</v>
      </c>
      <c r="AF272" s="266" t="str">
        <f>+'Plan de Accion apoyo transversa'!CK118</f>
        <v>No Prog ni Ejec</v>
      </c>
      <c r="AG272" s="228" t="s">
        <v>204</v>
      </c>
      <c r="AH272" s="266">
        <f>+'Plan de Accion apoyo transversa'!CB118</f>
        <v>0</v>
      </c>
      <c r="AI272" s="227">
        <f t="shared" si="252"/>
        <v>0</v>
      </c>
      <c r="AJ272" s="237"/>
      <c r="AL272" s="331"/>
      <c r="AM272" s="238"/>
      <c r="AN272" s="220"/>
      <c r="AO272" s="331"/>
      <c r="AP272" s="238"/>
      <c r="AQ272" s="220"/>
      <c r="AR272" s="331"/>
      <c r="AS272" s="238"/>
      <c r="AT272" s="220"/>
      <c r="AU272" s="331"/>
      <c r="AV272" s="238"/>
      <c r="AW272" s="218"/>
      <c r="AX272" s="237"/>
      <c r="AZ272" s="331"/>
      <c r="BA272" s="238"/>
      <c r="BB272" s="220"/>
      <c r="BC272" s="331"/>
      <c r="BD272" s="238"/>
      <c r="BE272" s="220"/>
      <c r="BF272" s="331"/>
      <c r="BG272" s="238"/>
      <c r="BH272" s="220"/>
      <c r="BI272" s="331"/>
      <c r="BJ272" s="238"/>
      <c r="BK272" s="218"/>
      <c r="BL272" s="237"/>
      <c r="BN272" s="331"/>
      <c r="BO272" s="238"/>
      <c r="BP272" s="220"/>
      <c r="BQ272" s="331"/>
      <c r="BR272" s="238"/>
      <c r="BS272" s="220"/>
      <c r="BT272" s="331"/>
      <c r="BU272" s="238"/>
      <c r="BV272" s="220"/>
      <c r="BW272" s="331"/>
      <c r="BX272" s="238"/>
      <c r="BY272" s="218"/>
      <c r="BZ272" s="237"/>
      <c r="CB272" s="331"/>
      <c r="CC272" s="238"/>
      <c r="CD272" s="220"/>
      <c r="CE272" s="331"/>
      <c r="CF272" s="238"/>
      <c r="CG272" s="220"/>
      <c r="CH272" s="331"/>
      <c r="CI272" s="238"/>
      <c r="CJ272" s="220"/>
      <c r="CK272" s="331"/>
      <c r="CL272" s="238"/>
      <c r="CM272" s="218"/>
      <c r="CN272" s="237"/>
    </row>
    <row r="273" spans="2:92" ht="29.25" thickBot="1" x14ac:dyDescent="0.25">
      <c r="B273" s="1228"/>
      <c r="C273" s="1241"/>
      <c r="D273" s="1210"/>
      <c r="E273" s="1212"/>
      <c r="F273" s="1210"/>
      <c r="G273" s="335" t="str">
        <f>+'Plan de Accion apoyo transversa'!X119</f>
        <v xml:space="preserve">Solicitud a la CNSC sobre la apertura de la OPEC </v>
      </c>
      <c r="H273" s="231" t="str">
        <f>+'Plan de Accion apoyo transversa'!AK119</f>
        <v># Solicitud a la CNSC</v>
      </c>
      <c r="J273" s="234">
        <f>+'Plan de Accion apoyo transversa'!AT119</f>
        <v>0</v>
      </c>
      <c r="K273" s="503" t="str">
        <f>+'Plan de Accion apoyo transversa'!CE119</f>
        <v>No Prog ni Ejec</v>
      </c>
      <c r="L273" s="503" t="s">
        <v>204</v>
      </c>
      <c r="M273" s="503">
        <f>+'Plan de Accion apoyo transversa'!AX119</f>
        <v>0</v>
      </c>
      <c r="N273" s="503">
        <f t="shared" si="226"/>
        <v>0</v>
      </c>
      <c r="O273" s="505" t="s">
        <v>204</v>
      </c>
      <c r="P273" s="229"/>
      <c r="Q273" s="234">
        <f>+'Plan de Accion apoyo transversa'!BD119</f>
        <v>0</v>
      </c>
      <c r="R273" s="266" t="str">
        <f>+'Plan de Accion apoyo transversa'!CG119</f>
        <v>No Prog ni Ejec</v>
      </c>
      <c r="S273" s="228" t="s">
        <v>204</v>
      </c>
      <c r="T273" s="324">
        <f>+'Plan de Accion apoyo transversa'!BH119</f>
        <v>0</v>
      </c>
      <c r="U273" s="324">
        <f t="shared" si="250"/>
        <v>0</v>
      </c>
      <c r="V273" s="227" t="s">
        <v>204</v>
      </c>
      <c r="W273" s="229"/>
      <c r="X273" s="234">
        <f>+'Plan de Accion apoyo transversa'!BN119</f>
        <v>0</v>
      </c>
      <c r="Y273" s="266">
        <f>+'Plan de Accion apoyo transversa'!CI119</f>
        <v>0</v>
      </c>
      <c r="Z273" s="228">
        <f>IF(Y273&gt;100%,100%,Y273)</f>
        <v>0</v>
      </c>
      <c r="AA273" s="233">
        <f>+'Plan de Accion apoyo transversa'!BR119</f>
        <v>0</v>
      </c>
      <c r="AB273" s="233">
        <f t="shared" si="248"/>
        <v>0</v>
      </c>
      <c r="AC273" s="232">
        <f t="shared" si="251"/>
        <v>0</v>
      </c>
      <c r="AD273" s="229"/>
      <c r="AE273" s="234">
        <f>+'Plan de Accion apoyo transversa'!BX119</f>
        <v>0</v>
      </c>
      <c r="AF273" s="266" t="str">
        <f>+'Plan de Accion apoyo transversa'!CK119</f>
        <v>No Prog ni Ejec</v>
      </c>
      <c r="AG273" s="228" t="s">
        <v>204</v>
      </c>
      <c r="AH273" s="266">
        <f>+'Plan de Accion apoyo transversa'!CB119</f>
        <v>0</v>
      </c>
      <c r="AI273" s="227">
        <f t="shared" si="252"/>
        <v>0</v>
      </c>
      <c r="AJ273" s="237"/>
      <c r="AL273" s="331"/>
      <c r="AM273" s="238"/>
      <c r="AN273" s="220"/>
      <c r="AO273" s="331"/>
      <c r="AP273" s="238"/>
      <c r="AQ273" s="220"/>
      <c r="AR273" s="331"/>
      <c r="AS273" s="238"/>
      <c r="AT273" s="220"/>
      <c r="AU273" s="331"/>
      <c r="AV273" s="238"/>
      <c r="AW273" s="218"/>
      <c r="AX273" s="237"/>
      <c r="AZ273" s="331"/>
      <c r="BA273" s="238"/>
      <c r="BB273" s="220"/>
      <c r="BC273" s="331"/>
      <c r="BD273" s="238"/>
      <c r="BE273" s="220"/>
      <c r="BF273" s="331"/>
      <c r="BG273" s="238"/>
      <c r="BH273" s="220"/>
      <c r="BI273" s="331"/>
      <c r="BJ273" s="238"/>
      <c r="BK273" s="218"/>
      <c r="BL273" s="237"/>
      <c r="BN273" s="331"/>
      <c r="BO273" s="238"/>
      <c r="BP273" s="220"/>
      <c r="BQ273" s="331"/>
      <c r="BR273" s="238"/>
      <c r="BS273" s="220"/>
      <c r="BT273" s="331"/>
      <c r="BU273" s="238"/>
      <c r="BV273" s="220"/>
      <c r="BW273" s="331"/>
      <c r="BX273" s="238"/>
      <c r="BY273" s="218"/>
      <c r="BZ273" s="237"/>
      <c r="CB273" s="331"/>
      <c r="CC273" s="238"/>
      <c r="CD273" s="220"/>
      <c r="CE273" s="331"/>
      <c r="CF273" s="238"/>
      <c r="CG273" s="220"/>
      <c r="CH273" s="331"/>
      <c r="CI273" s="238"/>
      <c r="CJ273" s="220"/>
      <c r="CK273" s="331"/>
      <c r="CL273" s="238"/>
      <c r="CM273" s="218"/>
      <c r="CN273" s="237"/>
    </row>
    <row r="274" spans="2:92" ht="29.25" thickBot="1" x14ac:dyDescent="0.25">
      <c r="B274" s="1228"/>
      <c r="C274" s="1241"/>
      <c r="D274" s="1210"/>
      <c r="E274" s="1212"/>
      <c r="F274" s="1203"/>
      <c r="G274" s="335" t="str">
        <f>+'Plan de Accion apoyo transversa'!X120</f>
        <v>Informe de la OPEC actualizada</v>
      </c>
      <c r="H274" s="231" t="str">
        <f>+'Plan de Accion apoyo transversa'!AK120</f>
        <v># Informe de Actualización</v>
      </c>
      <c r="J274" s="234">
        <f>+'Plan de Accion apoyo transversa'!AT120</f>
        <v>0</v>
      </c>
      <c r="K274" s="503" t="str">
        <f>+'Plan de Accion apoyo transversa'!CE120</f>
        <v>No Prog ni Ejec</v>
      </c>
      <c r="L274" s="503" t="s">
        <v>204</v>
      </c>
      <c r="M274" s="503">
        <f>+'Plan de Accion apoyo transversa'!AX120</f>
        <v>0</v>
      </c>
      <c r="N274" s="503">
        <f t="shared" si="226"/>
        <v>0</v>
      </c>
      <c r="O274" s="505" t="s">
        <v>204</v>
      </c>
      <c r="P274" s="229"/>
      <c r="Q274" s="234">
        <f>+'Plan de Accion apoyo transversa'!BD120</f>
        <v>0</v>
      </c>
      <c r="R274" s="266" t="str">
        <f>+'Plan de Accion apoyo transversa'!CG120</f>
        <v>No Prog ni Ejec</v>
      </c>
      <c r="S274" s="228" t="s">
        <v>204</v>
      </c>
      <c r="T274" s="324">
        <f>+'Plan de Accion apoyo transversa'!BH120</f>
        <v>0</v>
      </c>
      <c r="U274" s="324">
        <f t="shared" si="250"/>
        <v>0</v>
      </c>
      <c r="V274" s="227" t="s">
        <v>204</v>
      </c>
      <c r="W274" s="229"/>
      <c r="X274" s="234">
        <f>+'Plan de Accion apoyo transversa'!BN120</f>
        <v>0</v>
      </c>
      <c r="Y274" s="266">
        <f>+'Plan de Accion apoyo transversa'!CI120</f>
        <v>0</v>
      </c>
      <c r="Z274" s="228">
        <f>IF(Y274&gt;100%,100%,Y274)</f>
        <v>0</v>
      </c>
      <c r="AA274" s="233">
        <f>+'Plan de Accion apoyo transversa'!BR120</f>
        <v>0</v>
      </c>
      <c r="AB274" s="233">
        <f t="shared" si="248"/>
        <v>0</v>
      </c>
      <c r="AC274" s="232">
        <f t="shared" si="251"/>
        <v>0</v>
      </c>
      <c r="AD274" s="229"/>
      <c r="AE274" s="234">
        <f>+'Plan de Accion apoyo transversa'!BX120</f>
        <v>0</v>
      </c>
      <c r="AF274" s="266" t="str">
        <f>+'Plan de Accion apoyo transversa'!CK120</f>
        <v>No Prog ni Ejec</v>
      </c>
      <c r="AG274" s="228" t="s">
        <v>204</v>
      </c>
      <c r="AH274" s="266">
        <f>+'Plan de Accion apoyo transversa'!CB120</f>
        <v>0</v>
      </c>
      <c r="AI274" s="227">
        <f t="shared" si="252"/>
        <v>0</v>
      </c>
      <c r="AJ274" s="237"/>
      <c r="AL274" s="331"/>
      <c r="AM274" s="238"/>
      <c r="AN274" s="220"/>
      <c r="AO274" s="331"/>
      <c r="AP274" s="238"/>
      <c r="AQ274" s="220"/>
      <c r="AR274" s="331"/>
      <c r="AS274" s="238"/>
      <c r="AT274" s="220"/>
      <c r="AU274" s="331"/>
      <c r="AV274" s="238"/>
      <c r="AW274" s="218"/>
      <c r="AX274" s="237"/>
      <c r="AZ274" s="331"/>
      <c r="BA274" s="238"/>
      <c r="BB274" s="220"/>
      <c r="BC274" s="331"/>
      <c r="BD274" s="238"/>
      <c r="BE274" s="220"/>
      <c r="BF274" s="331"/>
      <c r="BG274" s="238"/>
      <c r="BH274" s="220"/>
      <c r="BI274" s="331"/>
      <c r="BJ274" s="238"/>
      <c r="BK274" s="218"/>
      <c r="BL274" s="237"/>
      <c r="BN274" s="331"/>
      <c r="BO274" s="238"/>
      <c r="BP274" s="220"/>
      <c r="BQ274" s="331"/>
      <c r="BR274" s="238"/>
      <c r="BS274" s="220"/>
      <c r="BT274" s="331"/>
      <c r="BU274" s="238"/>
      <c r="BV274" s="220"/>
      <c r="BW274" s="331"/>
      <c r="BX274" s="238"/>
      <c r="BY274" s="218"/>
      <c r="BZ274" s="237"/>
      <c r="CB274" s="331"/>
      <c r="CC274" s="238"/>
      <c r="CD274" s="220"/>
      <c r="CE274" s="331"/>
      <c r="CF274" s="238"/>
      <c r="CG274" s="220"/>
      <c r="CH274" s="331"/>
      <c r="CI274" s="238"/>
      <c r="CJ274" s="220"/>
      <c r="CK274" s="331"/>
      <c r="CL274" s="238"/>
      <c r="CM274" s="218"/>
      <c r="CN274" s="237"/>
    </row>
    <row r="275" spans="2:92" ht="72" thickBot="1" x14ac:dyDescent="0.25">
      <c r="B275" s="1228"/>
      <c r="C275" s="1241"/>
      <c r="D275" s="1210"/>
      <c r="E275" s="1212"/>
      <c r="F275" s="1202" t="s">
        <v>336</v>
      </c>
      <c r="G275" s="335" t="str">
        <f>+'Plan de Accion apoyo transversa'!X123</f>
        <v>Manual  de la Política de Servicio al Ciudadano actualizado para mejorar los estándares de servicio al interior de la Entidad</v>
      </c>
      <c r="H275" s="231" t="str">
        <f>+'Plan de Accion apoyo transversa'!AK123</f>
        <v># Manuales de Política de Servicio al Ciudadano actualizados</v>
      </c>
      <c r="J275" s="234">
        <f>+'Plan de Accion apoyo transversa'!AT123</f>
        <v>1</v>
      </c>
      <c r="K275" s="503">
        <f>+'Plan de Accion apoyo transversa'!CE123</f>
        <v>1</v>
      </c>
      <c r="L275" s="503">
        <f>IF(K275&gt;100%,100%,K275)</f>
        <v>1</v>
      </c>
      <c r="M275" s="503">
        <f>+'Plan de Accion apoyo transversa'!AX123</f>
        <v>1</v>
      </c>
      <c r="N275" s="503">
        <f t="shared" si="226"/>
        <v>1</v>
      </c>
      <c r="O275" s="505">
        <f>+N275</f>
        <v>1</v>
      </c>
      <c r="P275" s="229"/>
      <c r="Q275" s="234">
        <f>+'Plan de Accion apoyo transversa'!BD123</f>
        <v>0</v>
      </c>
      <c r="R275" s="266" t="str">
        <f>+'Plan de Accion apoyo transversa'!CG123</f>
        <v>No Prog ni Ejec</v>
      </c>
      <c r="S275" s="228" t="s">
        <v>204</v>
      </c>
      <c r="T275" s="324">
        <f>+'Plan de Accion apoyo transversa'!BH123</f>
        <v>1</v>
      </c>
      <c r="U275" s="324">
        <f t="shared" si="250"/>
        <v>1</v>
      </c>
      <c r="V275" s="227">
        <f t="shared" ref="V275:V281" si="253">+U275</f>
        <v>1</v>
      </c>
      <c r="W275" s="229"/>
      <c r="X275" s="234">
        <f>+'Plan de Accion apoyo transversa'!BN123</f>
        <v>0</v>
      </c>
      <c r="Y275" s="266" t="str">
        <f>+'Plan de Accion apoyo transversa'!CI123</f>
        <v>No Prog ni Ejec</v>
      </c>
      <c r="Z275" s="228" t="s">
        <v>204</v>
      </c>
      <c r="AA275" s="233">
        <f>+'Plan de Accion apoyo transversa'!BR123</f>
        <v>1</v>
      </c>
      <c r="AB275" s="233">
        <f t="shared" si="248"/>
        <v>1</v>
      </c>
      <c r="AC275" s="232">
        <f t="shared" si="251"/>
        <v>1</v>
      </c>
      <c r="AD275" s="229"/>
      <c r="AE275" s="234">
        <f>+'Plan de Accion apoyo transversa'!BX123</f>
        <v>0</v>
      </c>
      <c r="AF275" s="266" t="str">
        <f>+'Plan de Accion apoyo transversa'!CK123</f>
        <v>No Prog ni Ejec</v>
      </c>
      <c r="AG275" s="228" t="s">
        <v>204</v>
      </c>
      <c r="AH275" s="266">
        <f>+'Plan de Accion apoyo transversa'!CB123</f>
        <v>1</v>
      </c>
      <c r="AI275" s="227">
        <f t="shared" si="252"/>
        <v>1</v>
      </c>
      <c r="AJ275" s="237"/>
      <c r="AL275" s="331"/>
      <c r="AM275" s="238"/>
      <c r="AN275" s="220"/>
      <c r="AO275" s="331"/>
      <c r="AP275" s="238"/>
      <c r="AQ275" s="220"/>
      <c r="AR275" s="331"/>
      <c r="AS275" s="238"/>
      <c r="AT275" s="220"/>
      <c r="AU275" s="331"/>
      <c r="AV275" s="238"/>
      <c r="AW275" s="218"/>
      <c r="AX275" s="237"/>
      <c r="AZ275" s="331"/>
      <c r="BA275" s="238"/>
      <c r="BB275" s="220"/>
      <c r="BC275" s="331"/>
      <c r="BD275" s="238"/>
      <c r="BE275" s="220"/>
      <c r="BF275" s="331"/>
      <c r="BG275" s="238"/>
      <c r="BH275" s="220"/>
      <c r="BI275" s="331"/>
      <c r="BJ275" s="238"/>
      <c r="BK275" s="218"/>
      <c r="BL275" s="237"/>
      <c r="BN275" s="331"/>
      <c r="BO275" s="238"/>
      <c r="BP275" s="220"/>
      <c r="BQ275" s="331"/>
      <c r="BR275" s="238"/>
      <c r="BS275" s="220"/>
      <c r="BT275" s="331"/>
      <c r="BU275" s="238"/>
      <c r="BV275" s="220"/>
      <c r="BW275" s="331"/>
      <c r="BX275" s="238"/>
      <c r="BY275" s="218"/>
      <c r="BZ275" s="237"/>
      <c r="CB275" s="331"/>
      <c r="CC275" s="238"/>
      <c r="CD275" s="220"/>
      <c r="CE275" s="331"/>
      <c r="CF275" s="238"/>
      <c r="CG275" s="220"/>
      <c r="CH275" s="331"/>
      <c r="CI275" s="238"/>
      <c r="CJ275" s="220"/>
      <c r="CK275" s="331"/>
      <c r="CL275" s="238"/>
      <c r="CM275" s="218"/>
      <c r="CN275" s="237"/>
    </row>
    <row r="276" spans="2:92" ht="100.5" thickBot="1" x14ac:dyDescent="0.25">
      <c r="B276" s="1228"/>
      <c r="C276" s="1241"/>
      <c r="D276" s="1210"/>
      <c r="E276" s="1212"/>
      <c r="F276" s="1203"/>
      <c r="G276" s="335" t="str">
        <f>+'Plan de Accion apoyo transversa'!X133</f>
        <v>Reuniones de autocontrol y seguimiento a  los procesos que evidencien monitoreo a los riesgos, indicadores, planes de mejoramiento, manuales y documentos asociados</v>
      </c>
      <c r="H276" s="231" t="str">
        <f>+'Plan de Accion apoyo transversa'!AK133</f>
        <v># reuniones realizadas</v>
      </c>
      <c r="J276" s="234">
        <f>+'Plan de Accion apoyo transversa'!AT133</f>
        <v>0</v>
      </c>
      <c r="K276" s="503" t="str">
        <f>+'Plan de Accion apoyo transversa'!CE133</f>
        <v>No Prog ni Ejec</v>
      </c>
      <c r="L276" s="503" t="s">
        <v>204</v>
      </c>
      <c r="M276" s="503">
        <f>+'Plan de Accion apoyo transversa'!AX133</f>
        <v>0</v>
      </c>
      <c r="N276" s="503">
        <f t="shared" si="226"/>
        <v>0</v>
      </c>
      <c r="O276" s="505" t="s">
        <v>204</v>
      </c>
      <c r="P276" s="229"/>
      <c r="Q276" s="234">
        <f>+'Plan de Accion apoyo transversa'!BD133</f>
        <v>1</v>
      </c>
      <c r="R276" s="266">
        <f>+'Plan de Accion apoyo transversa'!CG133</f>
        <v>1</v>
      </c>
      <c r="S276" s="228">
        <f>IF(R276&gt;100%,100%,R276)</f>
        <v>1</v>
      </c>
      <c r="T276" s="324">
        <f>+'Plan de Accion apoyo transversa'!BH133</f>
        <v>0.33333333333333331</v>
      </c>
      <c r="U276" s="324">
        <f t="shared" si="250"/>
        <v>0.33333333333333331</v>
      </c>
      <c r="V276" s="227">
        <f t="shared" si="253"/>
        <v>0.33333333333333331</v>
      </c>
      <c r="W276" s="229"/>
      <c r="X276" s="234">
        <f>+'Plan de Accion apoyo transversa'!BN133</f>
        <v>0</v>
      </c>
      <c r="Y276" s="266">
        <f>+'Plan de Accion apoyo transversa'!CI133</f>
        <v>0</v>
      </c>
      <c r="Z276" s="228">
        <f>IF(Y276&gt;100%,100%,Y276)</f>
        <v>0</v>
      </c>
      <c r="AA276" s="233">
        <f>+'Plan de Accion apoyo transversa'!BR133</f>
        <v>0.33333333333333331</v>
      </c>
      <c r="AB276" s="233">
        <f t="shared" si="248"/>
        <v>0.33333333333333331</v>
      </c>
      <c r="AC276" s="232">
        <f t="shared" si="251"/>
        <v>0.33333333333333331</v>
      </c>
      <c r="AD276" s="229"/>
      <c r="AE276" s="234">
        <f>+'Plan de Accion apoyo transversa'!BX133</f>
        <v>0</v>
      </c>
      <c r="AF276" s="266">
        <f>+'Plan de Accion apoyo transversa'!CK133</f>
        <v>0</v>
      </c>
      <c r="AG276" s="228">
        <f>IF(AF276&gt;100%,100%,AF276)</f>
        <v>0</v>
      </c>
      <c r="AH276" s="266">
        <f>+'Plan de Accion apoyo transversa'!CB133</f>
        <v>0.33333333333333331</v>
      </c>
      <c r="AI276" s="227">
        <f t="shared" si="252"/>
        <v>0.33333333333333331</v>
      </c>
      <c r="AJ276" s="237"/>
      <c r="AL276" s="331"/>
      <c r="AM276" s="238"/>
      <c r="AN276" s="220"/>
      <c r="AO276" s="331"/>
      <c r="AP276" s="238"/>
      <c r="AQ276" s="220"/>
      <c r="AR276" s="331"/>
      <c r="AS276" s="238"/>
      <c r="AT276" s="220"/>
      <c r="AU276" s="331"/>
      <c r="AV276" s="238"/>
      <c r="AW276" s="218"/>
      <c r="AX276" s="237"/>
      <c r="AZ276" s="331"/>
      <c r="BA276" s="238"/>
      <c r="BB276" s="220"/>
      <c r="BC276" s="331"/>
      <c r="BD276" s="238"/>
      <c r="BE276" s="220"/>
      <c r="BF276" s="331"/>
      <c r="BG276" s="238"/>
      <c r="BH276" s="220"/>
      <c r="BI276" s="331"/>
      <c r="BJ276" s="238"/>
      <c r="BK276" s="218"/>
      <c r="BL276" s="237"/>
      <c r="BN276" s="331"/>
      <c r="BO276" s="238"/>
      <c r="BP276" s="220"/>
      <c r="BQ276" s="331"/>
      <c r="BR276" s="238"/>
      <c r="BS276" s="220"/>
      <c r="BT276" s="331"/>
      <c r="BU276" s="238"/>
      <c r="BV276" s="220"/>
      <c r="BW276" s="331"/>
      <c r="BX276" s="238"/>
      <c r="BY276" s="218"/>
      <c r="BZ276" s="237"/>
      <c r="CB276" s="331"/>
      <c r="CC276" s="238"/>
      <c r="CD276" s="220"/>
      <c r="CE276" s="331"/>
      <c r="CF276" s="238"/>
      <c r="CG276" s="220"/>
      <c r="CH276" s="331"/>
      <c r="CI276" s="238"/>
      <c r="CJ276" s="220"/>
      <c r="CK276" s="331"/>
      <c r="CL276" s="238"/>
      <c r="CM276" s="218"/>
      <c r="CN276" s="237"/>
    </row>
    <row r="277" spans="2:92" ht="29.25" thickBot="1" x14ac:dyDescent="0.25">
      <c r="B277" s="1228"/>
      <c r="C277" s="1241"/>
      <c r="D277" s="1210"/>
      <c r="E277" s="1212"/>
      <c r="F277" s="1210" t="s">
        <v>996</v>
      </c>
      <c r="G277" s="335" t="str">
        <f>+'Plan de Accion apoyo transversa'!X171</f>
        <v>Solicitud escrita desde Talento Humano</v>
      </c>
      <c r="H277" s="231" t="str">
        <f>+'Plan de Accion apoyo transversa'!AK171</f>
        <v># Solicitudes escritas desde Talento Humano</v>
      </c>
      <c r="J277" s="234">
        <f>+'Plan de Accion apoyo transversa'!AT171</f>
        <v>0</v>
      </c>
      <c r="K277" s="503">
        <f>+'Plan de Accion apoyo transversa'!CE171</f>
        <v>0</v>
      </c>
      <c r="L277" s="503">
        <f>IF(K277&gt;100%,100%,K277)</f>
        <v>0</v>
      </c>
      <c r="M277" s="503">
        <f>+'Plan de Accion apoyo transversa'!AX171</f>
        <v>0</v>
      </c>
      <c r="N277" s="503">
        <f t="shared" si="226"/>
        <v>0</v>
      </c>
      <c r="O277" s="505">
        <f>+N277</f>
        <v>0</v>
      </c>
      <c r="P277" s="229"/>
      <c r="Q277" s="234">
        <f>+'Plan de Accion apoyo transversa'!BD171</f>
        <v>1</v>
      </c>
      <c r="R277" s="266">
        <f>+'Plan de Accion apoyo transversa'!CG171</f>
        <v>0.33333333333333331</v>
      </c>
      <c r="S277" s="228">
        <f>IF(R277&gt;100%,100%,R277)</f>
        <v>0.33333333333333331</v>
      </c>
      <c r="T277" s="324">
        <f>+'Plan de Accion apoyo transversa'!BH171</f>
        <v>9.0909090909090912E-2</v>
      </c>
      <c r="U277" s="324">
        <f t="shared" si="250"/>
        <v>9.0909090909090912E-2</v>
      </c>
      <c r="V277" s="227">
        <f t="shared" si="253"/>
        <v>9.0909090909090912E-2</v>
      </c>
      <c r="W277" s="229"/>
      <c r="X277" s="234">
        <f>+'Plan de Accion apoyo transversa'!BN171</f>
        <v>0</v>
      </c>
      <c r="Y277" s="266">
        <f>+'Plan de Accion apoyo transversa'!CI171</f>
        <v>0</v>
      </c>
      <c r="Z277" s="228">
        <f>IF(Y277&gt;100%,100%,Y277)</f>
        <v>0</v>
      </c>
      <c r="AA277" s="233">
        <f>+'Plan de Accion apoyo transversa'!BR171</f>
        <v>9.0909090909090912E-2</v>
      </c>
      <c r="AB277" s="233">
        <f t="shared" si="248"/>
        <v>9.0909090909090912E-2</v>
      </c>
      <c r="AC277" s="232">
        <f t="shared" si="251"/>
        <v>9.0909090909090912E-2</v>
      </c>
      <c r="AD277" s="229"/>
      <c r="AE277" s="234">
        <f>+'Plan de Accion apoyo transversa'!BX171</f>
        <v>0</v>
      </c>
      <c r="AF277" s="266">
        <f>+'Plan de Accion apoyo transversa'!CK171</f>
        <v>0</v>
      </c>
      <c r="AG277" s="228">
        <f>IF(AF277&gt;100%,100%,AF277)</f>
        <v>0</v>
      </c>
      <c r="AH277" s="266">
        <f>+'Plan de Accion apoyo transversa'!CB171</f>
        <v>9.0909090909090912E-2</v>
      </c>
      <c r="AI277" s="227">
        <f t="shared" si="252"/>
        <v>9.0909090909090912E-2</v>
      </c>
      <c r="AJ277" s="237"/>
      <c r="AL277" s="331"/>
      <c r="AM277" s="238"/>
      <c r="AN277" s="220"/>
      <c r="AO277" s="331"/>
      <c r="AP277" s="238"/>
      <c r="AQ277" s="220"/>
      <c r="AR277" s="331"/>
      <c r="AS277" s="238"/>
      <c r="AT277" s="220"/>
      <c r="AU277" s="331"/>
      <c r="AV277" s="238"/>
      <c r="AW277" s="218"/>
      <c r="AX277" s="237"/>
      <c r="AZ277" s="331"/>
      <c r="BA277" s="238"/>
      <c r="BB277" s="220"/>
      <c r="BC277" s="331"/>
      <c r="BD277" s="238"/>
      <c r="BE277" s="220"/>
      <c r="BF277" s="331"/>
      <c r="BG277" s="238"/>
      <c r="BH277" s="220"/>
      <c r="BI277" s="331"/>
      <c r="BJ277" s="238"/>
      <c r="BK277" s="218"/>
      <c r="BL277" s="237"/>
      <c r="BN277" s="331"/>
      <c r="BO277" s="238"/>
      <c r="BP277" s="220"/>
      <c r="BQ277" s="331"/>
      <c r="BR277" s="238"/>
      <c r="BS277" s="220"/>
      <c r="BT277" s="331"/>
      <c r="BU277" s="238"/>
      <c r="BV277" s="220"/>
      <c r="BW277" s="331"/>
      <c r="BX277" s="238"/>
      <c r="BY277" s="218"/>
      <c r="BZ277" s="237"/>
      <c r="CB277" s="331"/>
      <c r="CC277" s="238"/>
      <c r="CD277" s="220"/>
      <c r="CE277" s="331"/>
      <c r="CF277" s="238"/>
      <c r="CG277" s="220"/>
      <c r="CH277" s="331"/>
      <c r="CI277" s="238"/>
      <c r="CJ277" s="220"/>
      <c r="CK277" s="331"/>
      <c r="CL277" s="238"/>
      <c r="CM277" s="218"/>
      <c r="CN277" s="237"/>
    </row>
    <row r="278" spans="2:92" ht="43.5" thickBot="1" x14ac:dyDescent="0.25">
      <c r="B278" s="1228"/>
      <c r="C278" s="1241"/>
      <c r="D278" s="1210"/>
      <c r="E278" s="1212"/>
      <c r="F278" s="1210"/>
      <c r="G278" s="335" t="str">
        <f>+'Plan de Accion apoyo transversa'!X172</f>
        <v>Actos administrativos</v>
      </c>
      <c r="H278" s="231" t="str">
        <f>+'Plan de Accion apoyo transversa'!AK172</f>
        <v># de nombramientos realizados / # Solicitudes de nombramientos</v>
      </c>
      <c r="J278" s="230">
        <f>+'Plan de Accion apoyo transversa'!AT172</f>
        <v>0.25</v>
      </c>
      <c r="K278" s="503">
        <f>+'Plan de Accion apoyo transversa'!CE172</f>
        <v>1</v>
      </c>
      <c r="L278" s="503">
        <f>IF(K278&gt;100%,100%,K278)</f>
        <v>1</v>
      </c>
      <c r="M278" s="503">
        <f>+'Plan de Accion apoyo transversa'!AX172</f>
        <v>0.25</v>
      </c>
      <c r="N278" s="503">
        <f t="shared" si="226"/>
        <v>0.25</v>
      </c>
      <c r="O278" s="505">
        <f>+N278</f>
        <v>0.25</v>
      </c>
      <c r="P278" s="229"/>
      <c r="Q278" s="230">
        <f>+'Plan de Accion apoyo transversa'!BD172</f>
        <v>0.25</v>
      </c>
      <c r="R278" s="266">
        <f>+'Plan de Accion apoyo transversa'!CG172</f>
        <v>1</v>
      </c>
      <c r="S278" s="228">
        <f>IF(R278&gt;100%,100%,R278)</f>
        <v>1</v>
      </c>
      <c r="T278" s="324">
        <f>+'Plan de Accion apoyo transversa'!BH172</f>
        <v>0.5</v>
      </c>
      <c r="U278" s="324">
        <f t="shared" si="250"/>
        <v>0.5</v>
      </c>
      <c r="V278" s="227">
        <f t="shared" si="253"/>
        <v>0.5</v>
      </c>
      <c r="W278" s="229"/>
      <c r="X278" s="230">
        <f>+'Plan de Accion apoyo transversa'!BN172</f>
        <v>0</v>
      </c>
      <c r="Y278" s="266">
        <f>+'Plan de Accion apoyo transversa'!CI172</f>
        <v>0</v>
      </c>
      <c r="Z278" s="228">
        <f>IF(Y278&gt;100%,100%,Y278)</f>
        <v>0</v>
      </c>
      <c r="AA278" s="233">
        <f>+'Plan de Accion apoyo transversa'!BR172</f>
        <v>0.5</v>
      </c>
      <c r="AB278" s="233">
        <f t="shared" si="248"/>
        <v>0.5</v>
      </c>
      <c r="AC278" s="232">
        <f t="shared" si="251"/>
        <v>0.5</v>
      </c>
      <c r="AD278" s="229"/>
      <c r="AE278" s="230">
        <f>+'Plan de Accion apoyo transversa'!BX172</f>
        <v>0</v>
      </c>
      <c r="AF278" s="266">
        <f>+'Plan de Accion apoyo transversa'!CK172</f>
        <v>0</v>
      </c>
      <c r="AG278" s="228">
        <f>IF(AF278&gt;100%,100%,AF278)</f>
        <v>0</v>
      </c>
      <c r="AH278" s="266">
        <f>+'Plan de Accion apoyo transversa'!CB172</f>
        <v>0.5</v>
      </c>
      <c r="AI278" s="227">
        <f t="shared" si="252"/>
        <v>0.5</v>
      </c>
      <c r="AJ278" s="237"/>
      <c r="AL278" s="331"/>
      <c r="AM278" s="238"/>
      <c r="AN278" s="220"/>
      <c r="AO278" s="331"/>
      <c r="AP278" s="238"/>
      <c r="AQ278" s="220"/>
      <c r="AR278" s="331"/>
      <c r="AS278" s="238"/>
      <c r="AT278" s="220"/>
      <c r="AU278" s="331"/>
      <c r="AV278" s="238"/>
      <c r="AW278" s="218"/>
      <c r="AX278" s="237"/>
      <c r="AZ278" s="331"/>
      <c r="BA278" s="238"/>
      <c r="BB278" s="220"/>
      <c r="BC278" s="331"/>
      <c r="BD278" s="238"/>
      <c r="BE278" s="220"/>
      <c r="BF278" s="331"/>
      <c r="BG278" s="238"/>
      <c r="BH278" s="220"/>
      <c r="BI278" s="331"/>
      <c r="BJ278" s="238"/>
      <c r="BK278" s="218"/>
      <c r="BL278" s="237"/>
      <c r="BN278" s="331"/>
      <c r="BO278" s="238"/>
      <c r="BP278" s="220"/>
      <c r="BQ278" s="331"/>
      <c r="BR278" s="238"/>
      <c r="BS278" s="220"/>
      <c r="BT278" s="331"/>
      <c r="BU278" s="238"/>
      <c r="BV278" s="220"/>
      <c r="BW278" s="331"/>
      <c r="BX278" s="238"/>
      <c r="BY278" s="218"/>
      <c r="BZ278" s="237"/>
      <c r="CB278" s="331"/>
      <c r="CC278" s="238"/>
      <c r="CD278" s="220"/>
      <c r="CE278" s="331"/>
      <c r="CF278" s="238"/>
      <c r="CG278" s="220"/>
      <c r="CH278" s="331"/>
      <c r="CI278" s="238"/>
      <c r="CJ278" s="220"/>
      <c r="CK278" s="331"/>
      <c r="CL278" s="238"/>
      <c r="CM278" s="218"/>
      <c r="CN278" s="237"/>
    </row>
    <row r="279" spans="2:92" ht="43.5" thickBot="1" x14ac:dyDescent="0.25">
      <c r="B279" s="1228"/>
      <c r="C279" s="1241"/>
      <c r="D279" s="1210"/>
      <c r="E279" s="1212"/>
      <c r="F279" s="1203"/>
      <c r="G279" s="335" t="str">
        <f>+'Plan de Accion apoyo transversa'!X173</f>
        <v>Actas de Posesión</v>
      </c>
      <c r="H279" s="231" t="str">
        <f>+'Plan de Accion apoyo transversa'!AK173</f>
        <v xml:space="preserve"># de posesionados / # de nombramientos comunicados y aceptados </v>
      </c>
      <c r="J279" s="230">
        <f>+'Plan de Accion apoyo transversa'!AT173</f>
        <v>0.25</v>
      </c>
      <c r="K279" s="503">
        <f>+'Plan de Accion apoyo transversa'!CE173</f>
        <v>1</v>
      </c>
      <c r="L279" s="503">
        <f>IF(K279&gt;100%,100%,K279)</f>
        <v>1</v>
      </c>
      <c r="M279" s="503">
        <f>+'Plan de Accion apoyo transversa'!AX173</f>
        <v>0.25</v>
      </c>
      <c r="N279" s="503">
        <f t="shared" si="226"/>
        <v>0.25</v>
      </c>
      <c r="O279" s="505">
        <f>+N279</f>
        <v>0.25</v>
      </c>
      <c r="P279" s="229"/>
      <c r="Q279" s="230">
        <f>+'Plan de Accion apoyo transversa'!BD173</f>
        <v>0.25</v>
      </c>
      <c r="R279" s="266">
        <f>+'Plan de Accion apoyo transversa'!CG173</f>
        <v>1</v>
      </c>
      <c r="S279" s="228">
        <f>IF(R279&gt;100%,100%,R279)</f>
        <v>1</v>
      </c>
      <c r="T279" s="324">
        <f>+'Plan de Accion apoyo transversa'!BH173</f>
        <v>0.5</v>
      </c>
      <c r="U279" s="324">
        <f t="shared" si="250"/>
        <v>0.5</v>
      </c>
      <c r="V279" s="227">
        <f t="shared" si="253"/>
        <v>0.5</v>
      </c>
      <c r="W279" s="229"/>
      <c r="X279" s="230">
        <f>+'Plan de Accion apoyo transversa'!BN173</f>
        <v>0</v>
      </c>
      <c r="Y279" s="266">
        <f>+'Plan de Accion apoyo transversa'!CI173</f>
        <v>0</v>
      </c>
      <c r="Z279" s="228">
        <f>IF(Y279&gt;100%,100%,Y279)</f>
        <v>0</v>
      </c>
      <c r="AA279" s="233">
        <f>+'Plan de Accion apoyo transversa'!BR173</f>
        <v>0.5</v>
      </c>
      <c r="AB279" s="233">
        <f t="shared" si="248"/>
        <v>0.5</v>
      </c>
      <c r="AC279" s="232">
        <f t="shared" si="251"/>
        <v>0.5</v>
      </c>
      <c r="AD279" s="229"/>
      <c r="AE279" s="230">
        <f>+'Plan de Accion apoyo transversa'!BX173</f>
        <v>0</v>
      </c>
      <c r="AF279" s="266">
        <f>+'Plan de Accion apoyo transversa'!CK173</f>
        <v>0</v>
      </c>
      <c r="AG279" s="228">
        <f>IF(AF279&gt;100%,100%,AF279)</f>
        <v>0</v>
      </c>
      <c r="AH279" s="266">
        <f>+'Plan de Accion apoyo transversa'!CB173</f>
        <v>0.5</v>
      </c>
      <c r="AI279" s="227">
        <f t="shared" si="252"/>
        <v>0.5</v>
      </c>
      <c r="AJ279" s="237"/>
      <c r="AL279" s="331"/>
      <c r="AM279" s="238"/>
      <c r="AN279" s="220"/>
      <c r="AO279" s="331"/>
      <c r="AP279" s="238"/>
      <c r="AQ279" s="220"/>
      <c r="AR279" s="331"/>
      <c r="AS279" s="238"/>
      <c r="AT279" s="220"/>
      <c r="AU279" s="331"/>
      <c r="AV279" s="238"/>
      <c r="AW279" s="218"/>
      <c r="AX279" s="237"/>
      <c r="AZ279" s="331"/>
      <c r="BA279" s="238"/>
      <c r="BB279" s="220"/>
      <c r="BC279" s="331"/>
      <c r="BD279" s="238"/>
      <c r="BE279" s="220"/>
      <c r="BF279" s="331"/>
      <c r="BG279" s="238"/>
      <c r="BH279" s="220"/>
      <c r="BI279" s="331"/>
      <c r="BJ279" s="238"/>
      <c r="BK279" s="218"/>
      <c r="BL279" s="237"/>
      <c r="BN279" s="331"/>
      <c r="BO279" s="238"/>
      <c r="BP279" s="220"/>
      <c r="BQ279" s="331"/>
      <c r="BR279" s="238"/>
      <c r="BS279" s="220"/>
      <c r="BT279" s="331"/>
      <c r="BU279" s="238"/>
      <c r="BV279" s="220"/>
      <c r="BW279" s="331"/>
      <c r="BX279" s="238"/>
      <c r="BY279" s="218"/>
      <c r="BZ279" s="237"/>
      <c r="CB279" s="331"/>
      <c r="CC279" s="238"/>
      <c r="CD279" s="220"/>
      <c r="CE279" s="331"/>
      <c r="CF279" s="238"/>
      <c r="CG279" s="220"/>
      <c r="CH279" s="331"/>
      <c r="CI279" s="238"/>
      <c r="CJ279" s="220"/>
      <c r="CK279" s="331"/>
      <c r="CL279" s="238"/>
      <c r="CM279" s="218"/>
      <c r="CN279" s="237"/>
    </row>
    <row r="280" spans="2:92" ht="57.75" thickBot="1" x14ac:dyDescent="0.25">
      <c r="B280" s="1228"/>
      <c r="C280" s="1241"/>
      <c r="D280" s="1210"/>
      <c r="E280" s="1212"/>
      <c r="F280" s="546" t="s">
        <v>529</v>
      </c>
      <c r="G280" s="557" t="str">
        <f>+'Plan de Accion apoyo transversa'!X180</f>
        <v>Autodiagnóstico frente al cumplimiento del Régimen de protección de datos personales</v>
      </c>
      <c r="H280" s="231" t="str">
        <f>+'Plan de Accion apoyo transversa'!AK180</f>
        <v># Autodiagnósticos de Ley de Protección de Datos - LPD realizados</v>
      </c>
      <c r="J280" s="234">
        <f>+'Plan de Accion apoyo transversa'!AT180</f>
        <v>1</v>
      </c>
      <c r="K280" s="549">
        <f>+'Plan de Accion apoyo transversa'!CE180</f>
        <v>1</v>
      </c>
      <c r="L280" s="549">
        <f>IF(K280&gt;100%,100%,K280)</f>
        <v>1</v>
      </c>
      <c r="M280" s="549">
        <f>+'Plan de Accion apoyo transversa'!AX180</f>
        <v>1</v>
      </c>
      <c r="N280" s="549">
        <f t="shared" si="226"/>
        <v>1</v>
      </c>
      <c r="O280" s="550">
        <f>+N280</f>
        <v>1</v>
      </c>
      <c r="P280" s="229"/>
      <c r="Q280" s="234">
        <f>+'Plan de Accion apoyo transversa'!BD180</f>
        <v>0</v>
      </c>
      <c r="R280" s="266" t="str">
        <f>+'Plan de Accion apoyo transversa'!CG180</f>
        <v>No Prog ni Ejec</v>
      </c>
      <c r="S280" s="228" t="s">
        <v>204</v>
      </c>
      <c r="T280" s="549">
        <f>+'Plan de Accion apoyo transversa'!BH180</f>
        <v>1</v>
      </c>
      <c r="U280" s="549">
        <f t="shared" si="250"/>
        <v>1</v>
      </c>
      <c r="V280" s="227">
        <f t="shared" si="253"/>
        <v>1</v>
      </c>
      <c r="W280" s="229"/>
      <c r="X280" s="234">
        <f>+'Plan de Accion apoyo transversa'!BN180</f>
        <v>0</v>
      </c>
      <c r="Y280" s="266" t="str">
        <f>+'Plan de Accion apoyo transversa'!CI180</f>
        <v>No Prog ni Ejec</v>
      </c>
      <c r="Z280" s="228" t="s">
        <v>204</v>
      </c>
      <c r="AA280" s="233">
        <f>+'Plan de Accion apoyo transversa'!BR180</f>
        <v>1</v>
      </c>
      <c r="AB280" s="233">
        <f t="shared" si="248"/>
        <v>1</v>
      </c>
      <c r="AC280" s="232">
        <f t="shared" si="251"/>
        <v>1</v>
      </c>
      <c r="AD280" s="229"/>
      <c r="AE280" s="234">
        <f>+'Plan de Accion apoyo transversa'!BX180</f>
        <v>0</v>
      </c>
      <c r="AF280" s="266" t="str">
        <f>+'Plan de Accion apoyo transversa'!CK180</f>
        <v>No Prog ni Ejec</v>
      </c>
      <c r="AG280" s="228" t="s">
        <v>204</v>
      </c>
      <c r="AH280" s="266">
        <f>+'Plan de Accion apoyo transversa'!CB180</f>
        <v>1</v>
      </c>
      <c r="AI280" s="227">
        <f t="shared" si="252"/>
        <v>1</v>
      </c>
      <c r="AJ280" s="237"/>
      <c r="AL280" s="554"/>
      <c r="AM280" s="238"/>
      <c r="AN280" s="220"/>
      <c r="AO280" s="554"/>
      <c r="AP280" s="238"/>
      <c r="AQ280" s="220"/>
      <c r="AR280" s="554"/>
      <c r="AS280" s="238"/>
      <c r="AT280" s="220"/>
      <c r="AU280" s="554"/>
      <c r="AV280" s="238"/>
      <c r="AW280" s="218"/>
      <c r="AX280" s="237"/>
      <c r="AZ280" s="554"/>
      <c r="BA280" s="238"/>
      <c r="BB280" s="220"/>
      <c r="BC280" s="554"/>
      <c r="BD280" s="238"/>
      <c r="BE280" s="220"/>
      <c r="BF280" s="554"/>
      <c r="BG280" s="238"/>
      <c r="BH280" s="220"/>
      <c r="BI280" s="554"/>
      <c r="BJ280" s="238"/>
      <c r="BK280" s="218"/>
      <c r="BL280" s="237"/>
      <c r="BN280" s="554"/>
      <c r="BO280" s="238"/>
      <c r="BP280" s="220"/>
      <c r="BQ280" s="554"/>
      <c r="BR280" s="238"/>
      <c r="BS280" s="220"/>
      <c r="BT280" s="554"/>
      <c r="BU280" s="238"/>
      <c r="BV280" s="220"/>
      <c r="BW280" s="554"/>
      <c r="BX280" s="238"/>
      <c r="BY280" s="218"/>
      <c r="BZ280" s="237"/>
      <c r="CB280" s="554"/>
      <c r="CC280" s="238"/>
      <c r="CD280" s="220"/>
      <c r="CE280" s="554"/>
      <c r="CF280" s="238"/>
      <c r="CG280" s="220"/>
      <c r="CH280" s="554"/>
      <c r="CI280" s="238"/>
      <c r="CJ280" s="220"/>
      <c r="CK280" s="554"/>
      <c r="CL280" s="238"/>
      <c r="CM280" s="218"/>
      <c r="CN280" s="237"/>
    </row>
    <row r="281" spans="2:92" ht="57.75" thickBot="1" x14ac:dyDescent="0.25">
      <c r="B281" s="1228"/>
      <c r="C281" s="1241"/>
      <c r="D281" s="1210"/>
      <c r="E281" s="1212"/>
      <c r="F281" s="1202" t="s">
        <v>995</v>
      </c>
      <c r="G281" s="745" t="str">
        <f>+'Plan de Accion apoyo transversa'!X175</f>
        <v>Contratos suscritos</v>
      </c>
      <c r="H281" s="231" t="str">
        <f>+'Plan de Accion apoyo transversa'!AK175</f>
        <v># Contratos del Plan de Adquisiciones suscritos / # contrataciones del Plan de Adquisiciones</v>
      </c>
      <c r="J281" s="230">
        <f>+'Plan de Accion apoyo transversa'!AT175</f>
        <v>0</v>
      </c>
      <c r="K281" s="732" t="s">
        <v>180</v>
      </c>
      <c r="L281" s="732" t="s">
        <v>204</v>
      </c>
      <c r="M281" s="732" t="s">
        <v>204</v>
      </c>
      <c r="N281" s="732" t="s">
        <v>204</v>
      </c>
      <c r="O281" s="733" t="s">
        <v>204</v>
      </c>
      <c r="P281" s="229"/>
      <c r="Q281" s="230">
        <f>+'Plan de Accion apoyo transversa'!BD175</f>
        <v>0.17546583850931677</v>
      </c>
      <c r="R281" s="266">
        <f>+'Plan de Accion apoyo transversa'!CG175</f>
        <v>0.70186335403726707</v>
      </c>
      <c r="S281" s="228">
        <f>IF(R281&gt;100%,100%,R281)</f>
        <v>0.70186335403726707</v>
      </c>
      <c r="T281" s="732">
        <f>+'Plan de Accion apoyo transversa'!BH175</f>
        <v>0.23395445134575568</v>
      </c>
      <c r="U281" s="732">
        <f t="shared" ref="U281" si="254">IF(T281&gt;100%,100%,T281)</f>
        <v>0.23395445134575568</v>
      </c>
      <c r="V281" s="227">
        <f t="shared" si="253"/>
        <v>0.23395445134575568</v>
      </c>
      <c r="W281" s="229"/>
      <c r="X281" s="230">
        <f>+'Plan de Accion apoyo transversa'!BN175</f>
        <v>0</v>
      </c>
      <c r="Y281" s="266">
        <f>+'Plan de Accion apoyo transversa'!CI175</f>
        <v>0</v>
      </c>
      <c r="Z281" s="228">
        <f>IF(Y281&gt;100%,100%,Y281)</f>
        <v>0</v>
      </c>
      <c r="AA281" s="233">
        <f>+'Plan de Accion apoyo transversa'!BR175</f>
        <v>0.23395445134575568</v>
      </c>
      <c r="AB281" s="233">
        <f t="shared" ref="AB281" si="255">IF(AA281&gt;100%,100%,AA281)</f>
        <v>0.23395445134575568</v>
      </c>
      <c r="AC281" s="232">
        <f>+AB281</f>
        <v>0.23395445134575568</v>
      </c>
      <c r="AD281" s="229"/>
      <c r="AE281" s="230">
        <f>+'Plan de Accion apoyo transversa'!BX175</f>
        <v>0</v>
      </c>
      <c r="AF281" s="266">
        <f>+'Plan de Accion apoyo transversa'!CK175</f>
        <v>0</v>
      </c>
      <c r="AG281" s="228">
        <f>IF(AF281&gt;100%,100%,AF281)</f>
        <v>0</v>
      </c>
      <c r="AH281" s="266">
        <f>+'Plan de Accion apoyo transversa'!CB175</f>
        <v>0.23395445134575568</v>
      </c>
      <c r="AI281" s="227">
        <f t="shared" ref="AI281" si="256">IF(AH281&gt;100%,100%,AH281)</f>
        <v>0.23395445134575568</v>
      </c>
      <c r="AJ281" s="237"/>
      <c r="AL281" s="740"/>
      <c r="AM281" s="238"/>
      <c r="AN281" s="220"/>
      <c r="AO281" s="740"/>
      <c r="AP281" s="238"/>
      <c r="AQ281" s="220"/>
      <c r="AR281" s="740"/>
      <c r="AS281" s="238"/>
      <c r="AT281" s="220"/>
      <c r="AU281" s="740"/>
      <c r="AV281" s="238"/>
      <c r="AW281" s="218"/>
      <c r="AX281" s="237"/>
      <c r="AZ281" s="740"/>
      <c r="BA281" s="238"/>
      <c r="BB281" s="220"/>
      <c r="BC281" s="740"/>
      <c r="BD281" s="238"/>
      <c r="BE281" s="220"/>
      <c r="BF281" s="740"/>
      <c r="BG281" s="238"/>
      <c r="BH281" s="220"/>
      <c r="BI281" s="740"/>
      <c r="BJ281" s="238"/>
      <c r="BK281" s="218"/>
      <c r="BL281" s="237"/>
      <c r="BN281" s="740"/>
      <c r="BO281" s="238"/>
      <c r="BP281" s="220"/>
      <c r="BQ281" s="740"/>
      <c r="BR281" s="238"/>
      <c r="BS281" s="220"/>
      <c r="BT281" s="740"/>
      <c r="BU281" s="238"/>
      <c r="BV281" s="220"/>
      <c r="BW281" s="740"/>
      <c r="BX281" s="238"/>
      <c r="BY281" s="218"/>
      <c r="BZ281" s="237"/>
      <c r="CB281" s="740"/>
      <c r="CC281" s="238"/>
      <c r="CD281" s="220"/>
      <c r="CE281" s="740"/>
      <c r="CF281" s="238"/>
      <c r="CG281" s="220"/>
      <c r="CH281" s="740"/>
      <c r="CI281" s="238"/>
      <c r="CJ281" s="220"/>
      <c r="CK281" s="740"/>
      <c r="CL281" s="238"/>
      <c r="CM281" s="218"/>
      <c r="CN281" s="237"/>
    </row>
    <row r="282" spans="2:92" ht="74.25" customHeight="1" thickBot="1" x14ac:dyDescent="0.25">
      <c r="B282" s="1228"/>
      <c r="C282" s="1241"/>
      <c r="D282" s="1203"/>
      <c r="E282" s="1213"/>
      <c r="F282" s="1203"/>
      <c r="G282" s="335" t="str">
        <f>+'Plan de Accion apoyo transversa'!X174</f>
        <v>Contratos suscritos</v>
      </c>
      <c r="H282" s="231" t="str">
        <f>+'Plan de Accion apoyo transversa'!AK174</f>
        <v># Contratos del Plan de Adquisiciones suscritos / # contrataciones del Plan de Adquisiciones</v>
      </c>
      <c r="J282" s="230">
        <f>+'Plan de Accion apoyo transversa'!AT174</f>
        <v>0.14873417721518986</v>
      </c>
      <c r="K282" s="503">
        <f>+'Plan de Accion apoyo transversa'!CE174</f>
        <v>0.59493670886075944</v>
      </c>
      <c r="L282" s="503">
        <f>IF(K282&gt;100%,100%,K282)</f>
        <v>0.59493670886075944</v>
      </c>
      <c r="M282" s="503">
        <f>+'Plan de Accion apoyo transversa'!AX174</f>
        <v>0.59493670886075944</v>
      </c>
      <c r="N282" s="503">
        <f t="shared" si="226"/>
        <v>0.59493670886075944</v>
      </c>
      <c r="O282" s="505">
        <f>+N282</f>
        <v>0.59493670886075944</v>
      </c>
      <c r="P282" s="229"/>
      <c r="Q282" s="230" t="str">
        <f>+'Plan de Accion apoyo transversa'!BD174</f>
        <v>N.A</v>
      </c>
      <c r="R282" s="266" t="s">
        <v>180</v>
      </c>
      <c r="S282" s="228" t="s">
        <v>204</v>
      </c>
      <c r="T282" s="324" t="s">
        <v>204</v>
      </c>
      <c r="U282" s="324" t="s">
        <v>204</v>
      </c>
      <c r="V282" s="227">
        <v>0.59</v>
      </c>
      <c r="W282" s="229"/>
      <c r="X282" s="230">
        <f>+'Plan de Accion apoyo transversa'!BN174</f>
        <v>0</v>
      </c>
      <c r="Y282" s="266" t="s">
        <v>180</v>
      </c>
      <c r="Z282" s="228" t="s">
        <v>204</v>
      </c>
      <c r="AA282" s="233" t="e">
        <f>+'Plan de Accion apoyo transversa'!BR174</f>
        <v>#VALUE!</v>
      </c>
      <c r="AB282" s="233" t="e">
        <f t="shared" si="248"/>
        <v>#VALUE!</v>
      </c>
      <c r="AC282" s="232" t="e">
        <f>+AB282</f>
        <v>#VALUE!</v>
      </c>
      <c r="AD282" s="229"/>
      <c r="AE282" s="230">
        <f>+'Plan de Accion apoyo transversa'!BX174</f>
        <v>0</v>
      </c>
      <c r="AF282" s="266" t="s">
        <v>180</v>
      </c>
      <c r="AG282" s="228" t="s">
        <v>204</v>
      </c>
      <c r="AH282" s="266" t="e">
        <f>+'Plan de Accion apoyo transversa'!CB174</f>
        <v>#VALUE!</v>
      </c>
      <c r="AI282" s="227" t="e">
        <f t="shared" si="252"/>
        <v>#VALUE!</v>
      </c>
      <c r="AJ282" s="237"/>
      <c r="AL282" s="331"/>
      <c r="AM282" s="238"/>
      <c r="AN282" s="220"/>
      <c r="AO282" s="331"/>
      <c r="AP282" s="238"/>
      <c r="AQ282" s="220"/>
      <c r="AR282" s="331"/>
      <c r="AS282" s="238"/>
      <c r="AT282" s="220"/>
      <c r="AU282" s="331"/>
      <c r="AV282" s="238"/>
      <c r="AW282" s="218"/>
      <c r="AX282" s="237"/>
      <c r="AZ282" s="331"/>
      <c r="BA282" s="238"/>
      <c r="BB282" s="220"/>
      <c r="BC282" s="331"/>
      <c r="BD282" s="238"/>
      <c r="BE282" s="220"/>
      <c r="BF282" s="331"/>
      <c r="BG282" s="238"/>
      <c r="BH282" s="220"/>
      <c r="BI282" s="331"/>
      <c r="BJ282" s="238"/>
      <c r="BK282" s="218"/>
      <c r="BL282" s="237"/>
      <c r="BN282" s="331"/>
      <c r="BO282" s="238"/>
      <c r="BP282" s="220"/>
      <c r="BQ282" s="331"/>
      <c r="BR282" s="238"/>
      <c r="BS282" s="220"/>
      <c r="BT282" s="331"/>
      <c r="BU282" s="238"/>
      <c r="BV282" s="220"/>
      <c r="BW282" s="331"/>
      <c r="BX282" s="238"/>
      <c r="BY282" s="218"/>
      <c r="BZ282" s="237"/>
      <c r="CB282" s="331"/>
      <c r="CC282" s="238"/>
      <c r="CD282" s="220"/>
      <c r="CE282" s="331"/>
      <c r="CF282" s="238"/>
      <c r="CG282" s="220"/>
      <c r="CH282" s="331"/>
      <c r="CI282" s="238"/>
      <c r="CJ282" s="220"/>
      <c r="CK282" s="331"/>
      <c r="CL282" s="238"/>
      <c r="CM282" s="218"/>
      <c r="CN282" s="237"/>
    </row>
    <row r="283" spans="2:92" ht="86.25" thickBot="1" x14ac:dyDescent="0.25">
      <c r="B283" s="1228"/>
      <c r="C283" s="1241"/>
      <c r="D283" s="1202" t="s">
        <v>204</v>
      </c>
      <c r="E283" s="1211" t="s">
        <v>230</v>
      </c>
      <c r="F283" s="1202" t="s">
        <v>529</v>
      </c>
      <c r="G283" s="335" t="str">
        <f>+'Plan de Accion apoyo transversa'!X135</f>
        <v>Servicios, infraestructura, Sistemas de información migrados (Transición) a IPV6 y compatibilidad con IPV4</v>
      </c>
      <c r="H283" s="231" t="str">
        <f>+'Plan de Accion apoyo transversa'!AK135</f>
        <v>(Servicios, infraestructura, Sistemas de información) migrados a IPV6 / (Servicios, infraestructura, Sistemas de información) compatibles a migración IPV6</v>
      </c>
      <c r="J283" s="230">
        <f>+'Plan de Accion apoyo transversa'!AT135</f>
        <v>0</v>
      </c>
      <c r="K283" s="503" t="str">
        <f>+'Plan de Accion apoyo transversa'!CE135</f>
        <v>No Prog ni Ejec</v>
      </c>
      <c r="L283" s="503" t="s">
        <v>204</v>
      </c>
      <c r="M283" s="503">
        <f>+'Plan de Accion apoyo transversa'!AX135</f>
        <v>0</v>
      </c>
      <c r="N283" s="503">
        <f t="shared" si="226"/>
        <v>0</v>
      </c>
      <c r="O283" s="505" t="s">
        <v>204</v>
      </c>
      <c r="P283" s="229"/>
      <c r="Q283" s="230">
        <f>+'Plan de Accion apoyo transversa'!BD135</f>
        <v>0</v>
      </c>
      <c r="R283" s="266" t="str">
        <f>+'Plan de Accion apoyo transversa'!CG135</f>
        <v>No Prog ni Ejec</v>
      </c>
      <c r="S283" s="228" t="s">
        <v>204</v>
      </c>
      <c r="T283" s="324">
        <f>+'Plan de Accion apoyo transversa'!BH135</f>
        <v>0</v>
      </c>
      <c r="U283" s="324">
        <f t="shared" si="250"/>
        <v>0</v>
      </c>
      <c r="V283" s="227" t="s">
        <v>204</v>
      </c>
      <c r="W283" s="229"/>
      <c r="X283" s="230">
        <f>+'Plan de Accion apoyo transversa'!BN135</f>
        <v>0</v>
      </c>
      <c r="Y283" s="266" t="str">
        <f>+'Plan de Accion apoyo transversa'!CI135</f>
        <v>No Prog ni Ejec</v>
      </c>
      <c r="Z283" s="228" t="s">
        <v>204</v>
      </c>
      <c r="AA283" s="233">
        <f>+'Plan de Accion apoyo transversa'!BR135</f>
        <v>0</v>
      </c>
      <c r="AB283" s="233">
        <f t="shared" si="248"/>
        <v>0</v>
      </c>
      <c r="AC283" s="232" t="s">
        <v>204</v>
      </c>
      <c r="AD283" s="229"/>
      <c r="AE283" s="230">
        <f>+'Plan de Accion apoyo transversa'!BX135</f>
        <v>0</v>
      </c>
      <c r="AF283" s="266">
        <f>+'Plan de Accion apoyo transversa'!CK135</f>
        <v>0</v>
      </c>
      <c r="AG283" s="228">
        <f>IF(AF283&gt;100%,100%,AF283)</f>
        <v>0</v>
      </c>
      <c r="AH283" s="266">
        <f>+'Plan de Accion apoyo transversa'!CB135</f>
        <v>0</v>
      </c>
      <c r="AI283" s="227">
        <f t="shared" si="252"/>
        <v>0</v>
      </c>
      <c r="AJ283" s="237"/>
      <c r="AL283" s="331"/>
      <c r="AM283" s="238"/>
      <c r="AN283" s="220"/>
      <c r="AO283" s="331"/>
      <c r="AP283" s="238"/>
      <c r="AQ283" s="220"/>
      <c r="AR283" s="331"/>
      <c r="AS283" s="238"/>
      <c r="AT283" s="220"/>
      <c r="AU283" s="331"/>
      <c r="AV283" s="238"/>
      <c r="AW283" s="218"/>
      <c r="AX283" s="237"/>
      <c r="AZ283" s="331"/>
      <c r="BA283" s="238"/>
      <c r="BB283" s="220"/>
      <c r="BC283" s="331"/>
      <c r="BD283" s="238"/>
      <c r="BE283" s="220"/>
      <c r="BF283" s="331"/>
      <c r="BG283" s="238"/>
      <c r="BH283" s="220"/>
      <c r="BI283" s="331"/>
      <c r="BJ283" s="238"/>
      <c r="BK283" s="218"/>
      <c r="BL283" s="237"/>
      <c r="BN283" s="331"/>
      <c r="BO283" s="238"/>
      <c r="BP283" s="220"/>
      <c r="BQ283" s="331"/>
      <c r="BR283" s="238"/>
      <c r="BS283" s="220"/>
      <c r="BT283" s="331"/>
      <c r="BU283" s="238"/>
      <c r="BV283" s="220"/>
      <c r="BW283" s="331"/>
      <c r="BX283" s="238"/>
      <c r="BY283" s="218"/>
      <c r="BZ283" s="237"/>
      <c r="CB283" s="331"/>
      <c r="CC283" s="238"/>
      <c r="CD283" s="220"/>
      <c r="CE283" s="331"/>
      <c r="CF283" s="238"/>
      <c r="CG283" s="220"/>
      <c r="CH283" s="331"/>
      <c r="CI283" s="238"/>
      <c r="CJ283" s="220"/>
      <c r="CK283" s="331"/>
      <c r="CL283" s="238"/>
      <c r="CM283" s="218"/>
      <c r="CN283" s="237"/>
    </row>
    <row r="284" spans="2:92" ht="72" thickBot="1" x14ac:dyDescent="0.25">
      <c r="B284" s="1228"/>
      <c r="C284" s="1241"/>
      <c r="D284" s="1210"/>
      <c r="E284" s="1212"/>
      <c r="F284" s="1210"/>
      <c r="G284" s="335" t="str">
        <f>+'Plan de Accion apoyo transversa'!X136</f>
        <v>Informe sobre servicios técnicos para realizar análisis de vulnerabilidades, ethical Hacking y pruebas de Ingeniería Social adquiridos</v>
      </c>
      <c r="H284" s="231" t="str">
        <f>+'Plan de Accion apoyo transversa'!AK136</f>
        <v># Informes sobre servicios técnicos para realizar análisis de vulnerabilidades, Ethical Hacking y pruebas de Ingeniería Social adquiridos</v>
      </c>
      <c r="J284" s="234">
        <f>+'Plan de Accion apoyo transversa'!AT136</f>
        <v>0</v>
      </c>
      <c r="K284" s="503" t="str">
        <f>+'Plan de Accion apoyo transversa'!CE136</f>
        <v>No Prog ni Ejec</v>
      </c>
      <c r="L284" s="503" t="s">
        <v>204</v>
      </c>
      <c r="M284" s="503">
        <f>+'Plan de Accion apoyo transversa'!AX136</f>
        <v>0</v>
      </c>
      <c r="N284" s="503">
        <f t="shared" si="226"/>
        <v>0</v>
      </c>
      <c r="O284" s="505" t="s">
        <v>204</v>
      </c>
      <c r="P284" s="229"/>
      <c r="Q284" s="234">
        <f>+'Plan de Accion apoyo transversa'!BD136</f>
        <v>0</v>
      </c>
      <c r="R284" s="266" t="str">
        <f>+'Plan de Accion apoyo transversa'!CG136</f>
        <v>No Prog ni Ejec</v>
      </c>
      <c r="S284" s="228" t="s">
        <v>204</v>
      </c>
      <c r="T284" s="324" t="s">
        <v>204</v>
      </c>
      <c r="U284" s="324" t="s">
        <v>204</v>
      </c>
      <c r="V284" s="227" t="s">
        <v>204</v>
      </c>
      <c r="W284" s="229"/>
      <c r="X284" s="234">
        <f>+'Plan de Accion apoyo transversa'!BN136</f>
        <v>0</v>
      </c>
      <c r="Y284" s="266" t="str">
        <f>+'Plan de Accion apoyo transversa'!CI136</f>
        <v>No Prog ni Ejec</v>
      </c>
      <c r="Z284" s="228" t="s">
        <v>204</v>
      </c>
      <c r="AA284" s="233" t="s">
        <v>204</v>
      </c>
      <c r="AB284" s="233" t="s">
        <v>204</v>
      </c>
      <c r="AC284" s="232" t="s">
        <v>204</v>
      </c>
      <c r="AD284" s="229"/>
      <c r="AE284" s="234" t="s">
        <v>204</v>
      </c>
      <c r="AF284" s="266" t="s">
        <v>180</v>
      </c>
      <c r="AG284" s="228" t="s">
        <v>204</v>
      </c>
      <c r="AH284" s="266" t="s">
        <v>204</v>
      </c>
      <c r="AI284" s="227" t="s">
        <v>204</v>
      </c>
      <c r="AJ284" s="237"/>
      <c r="AL284" s="331"/>
      <c r="AM284" s="238"/>
      <c r="AN284" s="220"/>
      <c r="AO284" s="331"/>
      <c r="AP284" s="238"/>
      <c r="AQ284" s="220"/>
      <c r="AR284" s="331"/>
      <c r="AS284" s="238"/>
      <c r="AT284" s="220"/>
      <c r="AU284" s="331"/>
      <c r="AV284" s="238"/>
      <c r="AW284" s="218"/>
      <c r="AX284" s="237"/>
      <c r="AZ284" s="331"/>
      <c r="BA284" s="238"/>
      <c r="BB284" s="220"/>
      <c r="BC284" s="331"/>
      <c r="BD284" s="238"/>
      <c r="BE284" s="220"/>
      <c r="BF284" s="331"/>
      <c r="BG284" s="238"/>
      <c r="BH284" s="220"/>
      <c r="BI284" s="331"/>
      <c r="BJ284" s="238"/>
      <c r="BK284" s="218"/>
      <c r="BL284" s="237"/>
      <c r="BN284" s="331"/>
      <c r="BO284" s="238"/>
      <c r="BP284" s="220"/>
      <c r="BQ284" s="331"/>
      <c r="BR284" s="238"/>
      <c r="BS284" s="220"/>
      <c r="BT284" s="331"/>
      <c r="BU284" s="238"/>
      <c r="BV284" s="220"/>
      <c r="BW284" s="331"/>
      <c r="BX284" s="238"/>
      <c r="BY284" s="218"/>
      <c r="BZ284" s="237"/>
      <c r="CB284" s="331"/>
      <c r="CC284" s="238"/>
      <c r="CD284" s="220"/>
      <c r="CE284" s="331"/>
      <c r="CF284" s="238"/>
      <c r="CG284" s="220"/>
      <c r="CH284" s="331"/>
      <c r="CI284" s="238"/>
      <c r="CJ284" s="220"/>
      <c r="CK284" s="331"/>
      <c r="CL284" s="238"/>
      <c r="CM284" s="218"/>
      <c r="CN284" s="237"/>
    </row>
    <row r="285" spans="2:92" ht="57.75" thickBot="1" x14ac:dyDescent="0.25">
      <c r="B285" s="1228"/>
      <c r="C285" s="1241"/>
      <c r="D285" s="1210"/>
      <c r="E285" s="1212"/>
      <c r="F285" s="1210"/>
      <c r="G285" s="506" t="str">
        <f>+'Plan de Accion apoyo transversa'!X180</f>
        <v>Autodiagnóstico frente al cumplimiento del Régimen de protección de datos personales</v>
      </c>
      <c r="H285" s="231" t="str">
        <f>+'Plan de Accion apoyo transversa'!AK180</f>
        <v># Autodiagnósticos de Ley de Protección de Datos - LPD realizados</v>
      </c>
      <c r="J285" s="234">
        <f>+'Plan de Accion apoyo transversa'!AT180</f>
        <v>1</v>
      </c>
      <c r="K285" s="503">
        <f>+'Plan de Accion apoyo transversa'!CE180</f>
        <v>1</v>
      </c>
      <c r="L285" s="503">
        <f>IF(K285&gt;100%,100%,K285)</f>
        <v>1</v>
      </c>
      <c r="M285" s="503">
        <f>+'Plan de Accion apoyo transversa'!AX180</f>
        <v>1</v>
      </c>
      <c r="N285" s="503">
        <f>IF(M285&gt;100%,100%,M285)</f>
        <v>1</v>
      </c>
      <c r="O285" s="505">
        <f>+N285</f>
        <v>1</v>
      </c>
      <c r="P285" s="229"/>
      <c r="Q285" s="234">
        <f>+'Plan de Accion apoyo transversa'!BD180</f>
        <v>0</v>
      </c>
      <c r="R285" s="266" t="str">
        <f>+'Plan de Accion apoyo transversa'!CG180</f>
        <v>No Prog ni Ejec</v>
      </c>
      <c r="S285" s="228" t="s">
        <v>204</v>
      </c>
      <c r="T285" s="503">
        <f>+'Plan de Accion apoyo transversa'!BH180</f>
        <v>1</v>
      </c>
      <c r="U285" s="503">
        <f t="shared" si="250"/>
        <v>1</v>
      </c>
      <c r="V285" s="227">
        <f t="shared" ref="V285:V290" si="257">+U285</f>
        <v>1</v>
      </c>
      <c r="W285" s="229"/>
      <c r="X285" s="234">
        <f>+'Plan de Accion apoyo transversa'!BN180</f>
        <v>0</v>
      </c>
      <c r="Y285" s="266" t="str">
        <f>+'Plan de Accion apoyo transversa'!CI180</f>
        <v>No Prog ni Ejec</v>
      </c>
      <c r="Z285" s="228" t="s">
        <v>204</v>
      </c>
      <c r="AA285" s="233">
        <f>+'Plan de Accion apoyo transversa'!BR180</f>
        <v>1</v>
      </c>
      <c r="AB285" s="233">
        <f>IF(AA285&gt;100%,100%,AA285)</f>
        <v>1</v>
      </c>
      <c r="AC285" s="232">
        <f t="shared" ref="AC285:AC290" si="258">+AB285</f>
        <v>1</v>
      </c>
      <c r="AD285" s="229"/>
      <c r="AE285" s="234">
        <f>+'Plan de Accion apoyo transversa'!BX180</f>
        <v>0</v>
      </c>
      <c r="AF285" s="266" t="str">
        <f>+'Plan de Accion apoyo transversa'!CK180</f>
        <v>No Prog ni Ejec</v>
      </c>
      <c r="AG285" s="228" t="s">
        <v>204</v>
      </c>
      <c r="AH285" s="266">
        <f>+'Plan de Accion apoyo transversa'!CB180</f>
        <v>1</v>
      </c>
      <c r="AI285" s="227">
        <f t="shared" si="252"/>
        <v>1</v>
      </c>
      <c r="AJ285" s="237"/>
      <c r="AL285" s="508"/>
      <c r="AM285" s="238"/>
      <c r="AN285" s="220"/>
      <c r="AO285" s="508"/>
      <c r="AP285" s="238"/>
      <c r="AQ285" s="220"/>
      <c r="AR285" s="508"/>
      <c r="AS285" s="238"/>
      <c r="AT285" s="220"/>
      <c r="AU285" s="508"/>
      <c r="AV285" s="238"/>
      <c r="AW285" s="218"/>
      <c r="AX285" s="237"/>
      <c r="AZ285" s="508"/>
      <c r="BA285" s="238"/>
      <c r="BB285" s="220"/>
      <c r="BC285" s="508"/>
      <c r="BD285" s="238"/>
      <c r="BE285" s="220"/>
      <c r="BF285" s="508"/>
      <c r="BG285" s="238"/>
      <c r="BH285" s="220"/>
      <c r="BI285" s="508"/>
      <c r="BJ285" s="238"/>
      <c r="BK285" s="218"/>
      <c r="BL285" s="237"/>
      <c r="BN285" s="508"/>
      <c r="BO285" s="238"/>
      <c r="BP285" s="220"/>
      <c r="BQ285" s="508"/>
      <c r="BR285" s="238"/>
      <c r="BS285" s="220"/>
      <c r="BT285" s="508"/>
      <c r="BU285" s="238"/>
      <c r="BV285" s="220"/>
      <c r="BW285" s="508"/>
      <c r="BX285" s="238"/>
      <c r="BY285" s="218"/>
      <c r="BZ285" s="237"/>
      <c r="CB285" s="508"/>
      <c r="CC285" s="238"/>
      <c r="CD285" s="220"/>
      <c r="CE285" s="508"/>
      <c r="CF285" s="238"/>
      <c r="CG285" s="220"/>
      <c r="CH285" s="508"/>
      <c r="CI285" s="238"/>
      <c r="CJ285" s="220"/>
      <c r="CK285" s="508"/>
      <c r="CL285" s="238"/>
      <c r="CM285" s="218"/>
      <c r="CN285" s="237"/>
    </row>
    <row r="286" spans="2:92" ht="43.5" thickBot="1" x14ac:dyDescent="0.25">
      <c r="B286" s="1228"/>
      <c r="C286" s="1241"/>
      <c r="D286" s="1210"/>
      <c r="E286" s="1212"/>
      <c r="F286" s="1203"/>
      <c r="G286" s="335" t="str">
        <f>+'Plan de Accion apoyo transversa'!X137</f>
        <v>Vulnerabilidades resueltas del ejercicio de ethical hacking del año anterior</v>
      </c>
      <c r="H286" s="231" t="str">
        <f>+'Plan de Accion apoyo transversa'!AK137</f>
        <v># Vulnerabilidades resueltas / # vulnerabilidades identificadas</v>
      </c>
      <c r="J286" s="230">
        <f>+'Plan de Accion apoyo transversa'!AT137</f>
        <v>0.2</v>
      </c>
      <c r="K286" s="503">
        <f>+'Plan de Accion apoyo transversa'!CE137</f>
        <v>1</v>
      </c>
      <c r="L286" s="503">
        <f>IF(K286&gt;100%,100%,K286)</f>
        <v>1</v>
      </c>
      <c r="M286" s="503">
        <f>+'Plan de Accion apoyo transversa'!AX137</f>
        <v>0.25</v>
      </c>
      <c r="N286" s="503">
        <f t="shared" si="226"/>
        <v>0.25</v>
      </c>
      <c r="O286" s="505">
        <f>+N286</f>
        <v>0.25</v>
      </c>
      <c r="P286" s="229"/>
      <c r="Q286" s="230">
        <f>+'Plan de Accion apoyo transversa'!BD137</f>
        <v>0</v>
      </c>
      <c r="R286" s="266" t="s">
        <v>180</v>
      </c>
      <c r="S286" s="228" t="s">
        <v>204</v>
      </c>
      <c r="T286" s="324">
        <f>+'Plan de Accion apoyo transversa'!BH137</f>
        <v>0.25</v>
      </c>
      <c r="U286" s="324">
        <f t="shared" si="250"/>
        <v>0.25</v>
      </c>
      <c r="V286" s="227">
        <f t="shared" si="257"/>
        <v>0.25</v>
      </c>
      <c r="W286" s="229"/>
      <c r="X286" s="230">
        <f>+'Plan de Accion apoyo transversa'!BN137</f>
        <v>0</v>
      </c>
      <c r="Y286" s="266" t="s">
        <v>180</v>
      </c>
      <c r="Z286" s="228" t="s">
        <v>204</v>
      </c>
      <c r="AA286" s="233">
        <f>+'Plan de Accion apoyo transversa'!BR137</f>
        <v>0.25</v>
      </c>
      <c r="AB286" s="233">
        <f t="shared" si="248"/>
        <v>0.25</v>
      </c>
      <c r="AC286" s="232">
        <f t="shared" si="258"/>
        <v>0.25</v>
      </c>
      <c r="AD286" s="229"/>
      <c r="AE286" s="230">
        <f>+'Plan de Accion apoyo transversa'!BX137</f>
        <v>0</v>
      </c>
      <c r="AF286" s="266" t="s">
        <v>180</v>
      </c>
      <c r="AG286" s="228" t="s">
        <v>204</v>
      </c>
      <c r="AH286" s="266">
        <f>+'Plan de Accion apoyo transversa'!CB137</f>
        <v>0.25</v>
      </c>
      <c r="AI286" s="227">
        <f t="shared" si="252"/>
        <v>0.25</v>
      </c>
      <c r="AJ286" s="237"/>
      <c r="AL286" s="331"/>
      <c r="AM286" s="238"/>
      <c r="AN286" s="220"/>
      <c r="AO286" s="331"/>
      <c r="AP286" s="238"/>
      <c r="AQ286" s="220"/>
      <c r="AR286" s="331"/>
      <c r="AS286" s="238"/>
      <c r="AT286" s="220"/>
      <c r="AU286" s="331"/>
      <c r="AV286" s="238"/>
      <c r="AW286" s="218"/>
      <c r="AX286" s="237"/>
      <c r="AZ286" s="331"/>
      <c r="BA286" s="238"/>
      <c r="BB286" s="220"/>
      <c r="BC286" s="331"/>
      <c r="BD286" s="238"/>
      <c r="BE286" s="220"/>
      <c r="BF286" s="331"/>
      <c r="BG286" s="238"/>
      <c r="BH286" s="220"/>
      <c r="BI286" s="331"/>
      <c r="BJ286" s="238"/>
      <c r="BK286" s="218"/>
      <c r="BL286" s="237"/>
      <c r="BN286" s="331"/>
      <c r="BO286" s="238"/>
      <c r="BP286" s="220"/>
      <c r="BQ286" s="331"/>
      <c r="BR286" s="238"/>
      <c r="BS286" s="220"/>
      <c r="BT286" s="331"/>
      <c r="BU286" s="238"/>
      <c r="BV286" s="220"/>
      <c r="BW286" s="331"/>
      <c r="BX286" s="238"/>
      <c r="BY286" s="218"/>
      <c r="BZ286" s="237"/>
      <c r="CB286" s="331"/>
      <c r="CC286" s="238"/>
      <c r="CD286" s="220"/>
      <c r="CE286" s="331"/>
      <c r="CF286" s="238"/>
      <c r="CG286" s="220"/>
      <c r="CH286" s="331"/>
      <c r="CI286" s="238"/>
      <c r="CJ286" s="220"/>
      <c r="CK286" s="331"/>
      <c r="CL286" s="238"/>
      <c r="CM286" s="218"/>
      <c r="CN286" s="237"/>
    </row>
    <row r="287" spans="2:92" ht="43.5" thickBot="1" x14ac:dyDescent="0.25">
      <c r="B287" s="1228"/>
      <c r="C287" s="1241"/>
      <c r="D287" s="1210"/>
      <c r="E287" s="1212"/>
      <c r="F287" s="1202" t="s">
        <v>332</v>
      </c>
      <c r="G287" s="335" t="str">
        <f>+'Plan de Accion apoyo transversa'!X146</f>
        <v>Autodiagnóstico del Modelo de Seguridad y Privacidad Revisado</v>
      </c>
      <c r="H287" s="231" t="str">
        <f>+'Plan de Accion apoyo transversa'!AK146</f>
        <v xml:space="preserve"># Autodiagnósticos realizados </v>
      </c>
      <c r="J287" s="234">
        <f>+'Plan de Accion apoyo transversa'!AT146</f>
        <v>0</v>
      </c>
      <c r="K287" s="503" t="str">
        <f>+'Plan de Accion apoyo transversa'!CE146</f>
        <v>No Prog ni Ejec</v>
      </c>
      <c r="L287" s="503" t="s">
        <v>204</v>
      </c>
      <c r="M287" s="503">
        <f>+'Plan de Accion apoyo transversa'!AX146</f>
        <v>0</v>
      </c>
      <c r="N287" s="503">
        <f t="shared" si="226"/>
        <v>0</v>
      </c>
      <c r="O287" s="505" t="s">
        <v>204</v>
      </c>
      <c r="P287" s="229"/>
      <c r="Q287" s="234">
        <f>+'Plan de Accion apoyo transversa'!BD146</f>
        <v>1</v>
      </c>
      <c r="R287" s="266">
        <f>+'Plan de Accion apoyo transversa'!CG146</f>
        <v>1</v>
      </c>
      <c r="S287" s="228">
        <f>IF(R287&gt;100%,100%,R287)</f>
        <v>1</v>
      </c>
      <c r="T287" s="324">
        <f>+'Plan de Accion apoyo transversa'!BH146</f>
        <v>0.5</v>
      </c>
      <c r="U287" s="324">
        <f t="shared" si="250"/>
        <v>0.5</v>
      </c>
      <c r="V287" s="227">
        <f t="shared" si="257"/>
        <v>0.5</v>
      </c>
      <c r="W287" s="229"/>
      <c r="X287" s="234">
        <f>+'Plan de Accion apoyo transversa'!BN146</f>
        <v>0</v>
      </c>
      <c r="Y287" s="266" t="str">
        <f>+'Plan de Accion apoyo transversa'!CI146</f>
        <v>No Prog ni Ejec</v>
      </c>
      <c r="Z287" s="228" t="s">
        <v>204</v>
      </c>
      <c r="AA287" s="233">
        <f>+'Plan de Accion apoyo transversa'!BR146</f>
        <v>0.5</v>
      </c>
      <c r="AB287" s="233">
        <f t="shared" si="248"/>
        <v>0.5</v>
      </c>
      <c r="AC287" s="232">
        <f t="shared" si="258"/>
        <v>0.5</v>
      </c>
      <c r="AD287" s="229"/>
      <c r="AE287" s="234">
        <f>+'Plan de Accion apoyo transversa'!BX146</f>
        <v>0</v>
      </c>
      <c r="AF287" s="266">
        <f>+'Plan de Accion apoyo transversa'!CK146</f>
        <v>0</v>
      </c>
      <c r="AG287" s="228">
        <f>IF(AF287&gt;100%,100%,AF287)</f>
        <v>0</v>
      </c>
      <c r="AH287" s="266">
        <f>+'Plan de Accion apoyo transversa'!CB146</f>
        <v>0.5</v>
      </c>
      <c r="AI287" s="227">
        <f t="shared" si="252"/>
        <v>0.5</v>
      </c>
      <c r="AJ287" s="237"/>
      <c r="AL287" s="331"/>
      <c r="AM287" s="238"/>
      <c r="AN287" s="220"/>
      <c r="AO287" s="331"/>
      <c r="AP287" s="238"/>
      <c r="AQ287" s="220"/>
      <c r="AR287" s="331"/>
      <c r="AS287" s="238"/>
      <c r="AT287" s="220"/>
      <c r="AU287" s="331"/>
      <c r="AV287" s="238"/>
      <c r="AW287" s="218"/>
      <c r="AX287" s="237"/>
      <c r="AZ287" s="331"/>
      <c r="BA287" s="238"/>
      <c r="BB287" s="220"/>
      <c r="BC287" s="331"/>
      <c r="BD287" s="238"/>
      <c r="BE287" s="220"/>
      <c r="BF287" s="331"/>
      <c r="BG287" s="238"/>
      <c r="BH287" s="220"/>
      <c r="BI287" s="331"/>
      <c r="BJ287" s="238"/>
      <c r="BK287" s="218"/>
      <c r="BL287" s="237"/>
      <c r="BN287" s="331"/>
      <c r="BO287" s="238"/>
      <c r="BP287" s="220"/>
      <c r="BQ287" s="331"/>
      <c r="BR287" s="238"/>
      <c r="BS287" s="220"/>
      <c r="BT287" s="331"/>
      <c r="BU287" s="238"/>
      <c r="BV287" s="220"/>
      <c r="BW287" s="331"/>
      <c r="BX287" s="238"/>
      <c r="BY287" s="218"/>
      <c r="BZ287" s="237"/>
      <c r="CB287" s="331"/>
      <c r="CC287" s="238"/>
      <c r="CD287" s="220"/>
      <c r="CE287" s="331"/>
      <c r="CF287" s="238"/>
      <c r="CG287" s="220"/>
      <c r="CH287" s="331"/>
      <c r="CI287" s="238"/>
      <c r="CJ287" s="220"/>
      <c r="CK287" s="331"/>
      <c r="CL287" s="238"/>
      <c r="CM287" s="218"/>
      <c r="CN287" s="237"/>
    </row>
    <row r="288" spans="2:92" ht="43.5" thickBot="1" x14ac:dyDescent="0.25">
      <c r="B288" s="1228"/>
      <c r="C288" s="1241"/>
      <c r="D288" s="1210"/>
      <c r="E288" s="1212"/>
      <c r="F288" s="1210"/>
      <c r="G288" s="335" t="str">
        <f>+'Plan de Accion apoyo transversa'!X147</f>
        <v>Políticas General y Específicas de Seguridad y Privacidad de la Información</v>
      </c>
      <c r="H288" s="231" t="str">
        <f>+'Plan de Accion apoyo transversa'!AK147</f>
        <v># Políticas aprobadas mediante acto administrativo o equivalente</v>
      </c>
      <c r="J288" s="234">
        <f>+'Plan de Accion apoyo transversa'!AT147</f>
        <v>2</v>
      </c>
      <c r="K288" s="503">
        <f>+'Plan de Accion apoyo transversa'!CE147</f>
        <v>1</v>
      </c>
      <c r="L288" s="503">
        <f>IF(K288&gt;100%,100%,K288)</f>
        <v>1</v>
      </c>
      <c r="M288" s="503">
        <f>+'Plan de Accion apoyo transversa'!AX147</f>
        <v>1</v>
      </c>
      <c r="N288" s="503">
        <f t="shared" si="226"/>
        <v>1</v>
      </c>
      <c r="O288" s="505">
        <f>+N288</f>
        <v>1</v>
      </c>
      <c r="P288" s="229"/>
      <c r="Q288" s="234">
        <f>+'Plan de Accion apoyo transversa'!BD147</f>
        <v>0</v>
      </c>
      <c r="R288" s="266" t="str">
        <f>+'Plan de Accion apoyo transversa'!CG147</f>
        <v>No Prog ni Ejec</v>
      </c>
      <c r="S288" s="228" t="s">
        <v>204</v>
      </c>
      <c r="T288" s="324">
        <f>+'Plan de Accion apoyo transversa'!BH147</f>
        <v>1</v>
      </c>
      <c r="U288" s="324">
        <f t="shared" si="250"/>
        <v>1</v>
      </c>
      <c r="V288" s="227">
        <f t="shared" si="257"/>
        <v>1</v>
      </c>
      <c r="W288" s="229"/>
      <c r="X288" s="234">
        <f>+'Plan de Accion apoyo transversa'!BN147</f>
        <v>0</v>
      </c>
      <c r="Y288" s="266" t="str">
        <f>+'Plan de Accion apoyo transversa'!CI147</f>
        <v>No Prog ni Ejec</v>
      </c>
      <c r="Z288" s="228" t="s">
        <v>204</v>
      </c>
      <c r="AA288" s="233">
        <f>+'Plan de Accion apoyo transversa'!BR147</f>
        <v>1</v>
      </c>
      <c r="AB288" s="233">
        <f t="shared" si="248"/>
        <v>1</v>
      </c>
      <c r="AC288" s="232">
        <f t="shared" si="258"/>
        <v>1</v>
      </c>
      <c r="AD288" s="229"/>
      <c r="AE288" s="234">
        <f>+'Plan de Accion apoyo transversa'!BX147</f>
        <v>0</v>
      </c>
      <c r="AF288" s="266" t="str">
        <f>+'Plan de Accion apoyo transversa'!CK147</f>
        <v>No Prog ni Ejec</v>
      </c>
      <c r="AG288" s="228" t="s">
        <v>204</v>
      </c>
      <c r="AH288" s="266">
        <f>+'Plan de Accion apoyo transversa'!CB147</f>
        <v>1</v>
      </c>
      <c r="AI288" s="227">
        <f t="shared" si="252"/>
        <v>1</v>
      </c>
      <c r="AJ288" s="237"/>
      <c r="AL288" s="331"/>
      <c r="AM288" s="238"/>
      <c r="AN288" s="220"/>
      <c r="AO288" s="331"/>
      <c r="AP288" s="238"/>
      <c r="AQ288" s="220"/>
      <c r="AR288" s="331"/>
      <c r="AS288" s="238"/>
      <c r="AT288" s="220"/>
      <c r="AU288" s="331"/>
      <c r="AV288" s="238"/>
      <c r="AW288" s="218"/>
      <c r="AX288" s="237"/>
      <c r="AZ288" s="331"/>
      <c r="BA288" s="238"/>
      <c r="BB288" s="220"/>
      <c r="BC288" s="331"/>
      <c r="BD288" s="238"/>
      <c r="BE288" s="220"/>
      <c r="BF288" s="331"/>
      <c r="BG288" s="238"/>
      <c r="BH288" s="220"/>
      <c r="BI288" s="331"/>
      <c r="BJ288" s="238"/>
      <c r="BK288" s="218"/>
      <c r="BL288" s="237"/>
      <c r="BN288" s="331"/>
      <c r="BO288" s="238"/>
      <c r="BP288" s="220"/>
      <c r="BQ288" s="331"/>
      <c r="BR288" s="238"/>
      <c r="BS288" s="220"/>
      <c r="BT288" s="331"/>
      <c r="BU288" s="238"/>
      <c r="BV288" s="220"/>
      <c r="BW288" s="331"/>
      <c r="BX288" s="238"/>
      <c r="BY288" s="218"/>
      <c r="BZ288" s="237"/>
      <c r="CB288" s="331"/>
      <c r="CC288" s="238"/>
      <c r="CD288" s="220"/>
      <c r="CE288" s="331"/>
      <c r="CF288" s="238"/>
      <c r="CG288" s="220"/>
      <c r="CH288" s="331"/>
      <c r="CI288" s="238"/>
      <c r="CJ288" s="220"/>
      <c r="CK288" s="331"/>
      <c r="CL288" s="238"/>
      <c r="CM288" s="218"/>
      <c r="CN288" s="237"/>
    </row>
    <row r="289" spans="2:92" ht="43.5" thickBot="1" x14ac:dyDescent="0.25">
      <c r="B289" s="1228"/>
      <c r="C289" s="1241"/>
      <c r="D289" s="1210"/>
      <c r="E289" s="1212"/>
      <c r="F289" s="1210"/>
      <c r="G289" s="335" t="str">
        <f>+'Plan de Accion apoyo transversa'!X148</f>
        <v>Inventario y registro de activos de información actualizados</v>
      </c>
      <c r="H289" s="231" t="str">
        <f>+'Plan de Accion apoyo transversa'!AK148</f>
        <v xml:space="preserve"> # Matrices de inventario y registro de activos de información actualizados </v>
      </c>
      <c r="J289" s="234">
        <f>+'Plan de Accion apoyo transversa'!AT148</f>
        <v>0</v>
      </c>
      <c r="K289" s="503" t="str">
        <f>+'Plan de Accion apoyo transversa'!CE148</f>
        <v>No Prog ni Ejec</v>
      </c>
      <c r="L289" s="503" t="s">
        <v>204</v>
      </c>
      <c r="M289" s="503">
        <f>+'Plan de Accion apoyo transversa'!AX148</f>
        <v>0</v>
      </c>
      <c r="N289" s="503">
        <f t="shared" si="226"/>
        <v>0</v>
      </c>
      <c r="O289" s="505" t="s">
        <v>204</v>
      </c>
      <c r="P289" s="229"/>
      <c r="Q289" s="234">
        <f>+'Plan de Accion apoyo transversa'!BD148</f>
        <v>1</v>
      </c>
      <c r="R289" s="266">
        <f>+'Plan de Accion apoyo transversa'!CG148</f>
        <v>1</v>
      </c>
      <c r="S289" s="228">
        <f>IF(R289&gt;100%,100%,R289)</f>
        <v>1</v>
      </c>
      <c r="T289" s="324">
        <f>+'Plan de Accion apoyo transversa'!BH148</f>
        <v>0.5</v>
      </c>
      <c r="U289" s="324">
        <f t="shared" si="250"/>
        <v>0.5</v>
      </c>
      <c r="V289" s="227">
        <f t="shared" si="257"/>
        <v>0.5</v>
      </c>
      <c r="W289" s="229"/>
      <c r="X289" s="234">
        <f>+'Plan de Accion apoyo transversa'!BN148</f>
        <v>0</v>
      </c>
      <c r="Y289" s="266" t="str">
        <f>+'Plan de Accion apoyo transversa'!CI148</f>
        <v>No Prog ni Ejec</v>
      </c>
      <c r="Z289" s="228" t="s">
        <v>204</v>
      </c>
      <c r="AA289" s="233">
        <f>+'Plan de Accion apoyo transversa'!BR148</f>
        <v>0.5</v>
      </c>
      <c r="AB289" s="233">
        <f t="shared" si="248"/>
        <v>0.5</v>
      </c>
      <c r="AC289" s="232">
        <f t="shared" si="258"/>
        <v>0.5</v>
      </c>
      <c r="AD289" s="229"/>
      <c r="AE289" s="234">
        <f>+'Plan de Accion apoyo transversa'!BX148</f>
        <v>0</v>
      </c>
      <c r="AF289" s="266">
        <f>+'Plan de Accion apoyo transversa'!CK148</f>
        <v>0</v>
      </c>
      <c r="AG289" s="228">
        <f t="shared" ref="AG289:AG294" si="259">IF(AF289&gt;100%,100%,AF289)</f>
        <v>0</v>
      </c>
      <c r="AH289" s="266">
        <f>+'Plan de Accion apoyo transversa'!CB148</f>
        <v>0.5</v>
      </c>
      <c r="AI289" s="227">
        <f t="shared" si="252"/>
        <v>0.5</v>
      </c>
      <c r="AJ289" s="237"/>
      <c r="AL289" s="331"/>
      <c r="AM289" s="238"/>
      <c r="AN289" s="220"/>
      <c r="AO289" s="331"/>
      <c r="AP289" s="238"/>
      <c r="AQ289" s="220"/>
      <c r="AR289" s="331"/>
      <c r="AS289" s="238"/>
      <c r="AT289" s="220"/>
      <c r="AU289" s="331"/>
      <c r="AV289" s="238"/>
      <c r="AW289" s="218"/>
      <c r="AX289" s="237"/>
      <c r="AZ289" s="331"/>
      <c r="BA289" s="238"/>
      <c r="BB289" s="220"/>
      <c r="BC289" s="331"/>
      <c r="BD289" s="238"/>
      <c r="BE289" s="220"/>
      <c r="BF289" s="331"/>
      <c r="BG289" s="238"/>
      <c r="BH289" s="220"/>
      <c r="BI289" s="331"/>
      <c r="BJ289" s="238"/>
      <c r="BK289" s="218"/>
      <c r="BL289" s="237"/>
      <c r="BN289" s="331"/>
      <c r="BO289" s="238"/>
      <c r="BP289" s="220"/>
      <c r="BQ289" s="331"/>
      <c r="BR289" s="238"/>
      <c r="BS289" s="220"/>
      <c r="BT289" s="331"/>
      <c r="BU289" s="238"/>
      <c r="BV289" s="220"/>
      <c r="BW289" s="331"/>
      <c r="BX289" s="238"/>
      <c r="BY289" s="218"/>
      <c r="BZ289" s="237"/>
      <c r="CB289" s="331"/>
      <c r="CC289" s="238"/>
      <c r="CD289" s="220"/>
      <c r="CE289" s="331"/>
      <c r="CF289" s="238"/>
      <c r="CG289" s="220"/>
      <c r="CH289" s="331"/>
      <c r="CI289" s="238"/>
      <c r="CJ289" s="220"/>
      <c r="CK289" s="331"/>
      <c r="CL289" s="238"/>
      <c r="CM289" s="218"/>
      <c r="CN289" s="237"/>
    </row>
    <row r="290" spans="2:92" ht="43.5" thickBot="1" x14ac:dyDescent="0.25">
      <c r="B290" s="1228"/>
      <c r="C290" s="1241"/>
      <c r="D290" s="1210"/>
      <c r="E290" s="1212"/>
      <c r="F290" s="1203"/>
      <c r="G290" s="335" t="str">
        <f>+'Plan de Accion apoyo transversa'!X149</f>
        <v>Procedimientos relacionados con Seguridad de la Información</v>
      </c>
      <c r="H290" s="231" t="str">
        <f>+'Plan de Accion apoyo transversa'!AK149</f>
        <v xml:space="preserve"># Procedimientos aprobados </v>
      </c>
      <c r="J290" s="234">
        <f>+'Plan de Accion apoyo transversa'!AT149</f>
        <v>4</v>
      </c>
      <c r="K290" s="503">
        <f>+'Plan de Accion apoyo transversa'!CE149</f>
        <v>1</v>
      </c>
      <c r="L290" s="503">
        <f>IF(K290&gt;100%,100%,K290)</f>
        <v>1</v>
      </c>
      <c r="M290" s="503">
        <f>+'Plan de Accion apoyo transversa'!AX149</f>
        <v>0.21052631578947367</v>
      </c>
      <c r="N290" s="503">
        <f t="shared" si="226"/>
        <v>0.21052631578947367</v>
      </c>
      <c r="O290" s="505">
        <f>+N290</f>
        <v>0.21052631578947367</v>
      </c>
      <c r="P290" s="229"/>
      <c r="Q290" s="234">
        <f>+'Plan de Accion apoyo transversa'!BD149</f>
        <v>0</v>
      </c>
      <c r="R290" s="266" t="str">
        <f>+'Plan de Accion apoyo transversa'!CG149</f>
        <v>No Prog ni Ejec</v>
      </c>
      <c r="S290" s="228" t="s">
        <v>204</v>
      </c>
      <c r="T290" s="324">
        <f>+'Plan de Accion apoyo transversa'!BH149</f>
        <v>0.21052631578947367</v>
      </c>
      <c r="U290" s="324">
        <f t="shared" si="250"/>
        <v>0.21052631578947367</v>
      </c>
      <c r="V290" s="227">
        <f t="shared" si="257"/>
        <v>0.21052631578947367</v>
      </c>
      <c r="W290" s="229"/>
      <c r="X290" s="234">
        <f>+'Plan de Accion apoyo transversa'!BN149</f>
        <v>0</v>
      </c>
      <c r="Y290" s="266">
        <f>+'Plan de Accion apoyo transversa'!CI149</f>
        <v>0</v>
      </c>
      <c r="Z290" s="228">
        <f>IF(Y290&gt;100%,100%,Y290)</f>
        <v>0</v>
      </c>
      <c r="AA290" s="233">
        <f>+'Plan de Accion apoyo transversa'!BR149</f>
        <v>0.21052631578947367</v>
      </c>
      <c r="AB290" s="233">
        <f t="shared" si="248"/>
        <v>0.21052631578947367</v>
      </c>
      <c r="AC290" s="232">
        <f t="shared" si="258"/>
        <v>0.21052631578947367</v>
      </c>
      <c r="AD290" s="229"/>
      <c r="AE290" s="234">
        <f>+'Plan de Accion apoyo transversa'!BX149</f>
        <v>0</v>
      </c>
      <c r="AF290" s="266">
        <f>+'Plan de Accion apoyo transversa'!CK149</f>
        <v>0</v>
      </c>
      <c r="AG290" s="228">
        <f t="shared" si="259"/>
        <v>0</v>
      </c>
      <c r="AH290" s="266">
        <f>+'Plan de Accion apoyo transversa'!CB149</f>
        <v>0.21052631578947367</v>
      </c>
      <c r="AI290" s="227">
        <f t="shared" si="252"/>
        <v>0.21052631578947367</v>
      </c>
      <c r="AJ290" s="237"/>
      <c r="AL290" s="331"/>
      <c r="AM290" s="238"/>
      <c r="AN290" s="220"/>
      <c r="AO290" s="331"/>
      <c r="AP290" s="238"/>
      <c r="AQ290" s="220"/>
      <c r="AR290" s="331"/>
      <c r="AS290" s="238"/>
      <c r="AT290" s="220"/>
      <c r="AU290" s="331"/>
      <c r="AV290" s="238"/>
      <c r="AW290" s="218"/>
      <c r="AX290" s="237"/>
      <c r="AZ290" s="331"/>
      <c r="BA290" s="238"/>
      <c r="BB290" s="220"/>
      <c r="BC290" s="331"/>
      <c r="BD290" s="238"/>
      <c r="BE290" s="220"/>
      <c r="BF290" s="331"/>
      <c r="BG290" s="238"/>
      <c r="BH290" s="220"/>
      <c r="BI290" s="331"/>
      <c r="BJ290" s="238"/>
      <c r="BK290" s="218"/>
      <c r="BL290" s="237"/>
      <c r="BN290" s="331"/>
      <c r="BO290" s="238"/>
      <c r="BP290" s="220"/>
      <c r="BQ290" s="331"/>
      <c r="BR290" s="238"/>
      <c r="BS290" s="220"/>
      <c r="BT290" s="331"/>
      <c r="BU290" s="238"/>
      <c r="BV290" s="220"/>
      <c r="BW290" s="331"/>
      <c r="BX290" s="238"/>
      <c r="BY290" s="218"/>
      <c r="BZ290" s="237"/>
      <c r="CB290" s="331"/>
      <c r="CC290" s="238"/>
      <c r="CD290" s="220"/>
      <c r="CE290" s="331"/>
      <c r="CF290" s="238"/>
      <c r="CG290" s="220"/>
      <c r="CH290" s="331"/>
      <c r="CI290" s="238"/>
      <c r="CJ290" s="220"/>
      <c r="CK290" s="331"/>
      <c r="CL290" s="238"/>
      <c r="CM290" s="218"/>
      <c r="CN290" s="237"/>
    </row>
    <row r="291" spans="2:92" ht="100.5" thickBot="1" x14ac:dyDescent="0.25">
      <c r="B291" s="1228"/>
      <c r="C291" s="1241"/>
      <c r="D291" s="1210"/>
      <c r="E291" s="1212"/>
      <c r="F291" s="1202" t="s">
        <v>330</v>
      </c>
      <c r="G291" s="335" t="str">
        <f>+'Plan de Accion apoyo transversa'!X138</f>
        <v>Flujos de correspondencia, que incluya impresión de stickers, firma digital de documentos, estampado cronológico, reconocimiento OCR e integración con los flujos de PQRSD y Tutelas</v>
      </c>
      <c r="H291" s="231" t="str">
        <f>+'Plan de Accion apoyo transversa'!AK138</f>
        <v>Flujos de correspondencia implementados con el cumplimiento de requisitos / Flujos de correspondencia requeridos</v>
      </c>
      <c r="J291" s="230">
        <f>+'Plan de Accion apoyo transversa'!AT138</f>
        <v>0</v>
      </c>
      <c r="K291" s="503" t="str">
        <f>+'Plan de Accion apoyo transversa'!CE138</f>
        <v>No Prog ni Ejec</v>
      </c>
      <c r="L291" s="503" t="s">
        <v>204</v>
      </c>
      <c r="M291" s="503">
        <f>+'Plan de Accion apoyo transversa'!AX138</f>
        <v>0</v>
      </c>
      <c r="N291" s="503">
        <f t="shared" si="226"/>
        <v>0</v>
      </c>
      <c r="O291" s="505" t="s">
        <v>204</v>
      </c>
      <c r="P291" s="229"/>
      <c r="Q291" s="230">
        <f>+'Plan de Accion apoyo transversa'!BD138</f>
        <v>0</v>
      </c>
      <c r="R291" s="266" t="str">
        <f>+'Plan de Accion apoyo transversa'!CG138</f>
        <v>No Prog ni Ejec</v>
      </c>
      <c r="S291" s="228" t="s">
        <v>204</v>
      </c>
      <c r="T291" s="324">
        <f>+'Plan de Accion apoyo transversa'!BH138</f>
        <v>0</v>
      </c>
      <c r="U291" s="324">
        <f t="shared" si="250"/>
        <v>0</v>
      </c>
      <c r="V291" s="227" t="s">
        <v>204</v>
      </c>
      <c r="W291" s="229"/>
      <c r="X291" s="230">
        <f>+'Plan de Accion apoyo transversa'!BN138</f>
        <v>0</v>
      </c>
      <c r="Y291" s="266" t="str">
        <f>+'Plan de Accion apoyo transversa'!CI138</f>
        <v>No Prog ni Ejec</v>
      </c>
      <c r="Z291" s="228" t="s">
        <v>204</v>
      </c>
      <c r="AA291" s="233">
        <f>+'Plan de Accion apoyo transversa'!BR138</f>
        <v>0</v>
      </c>
      <c r="AB291" s="233">
        <f t="shared" ref="AB291:AB303" si="260">IF(AA291&gt;100%,100%,AA291)</f>
        <v>0</v>
      </c>
      <c r="AC291" s="232" t="s">
        <v>204</v>
      </c>
      <c r="AD291" s="229"/>
      <c r="AE291" s="230">
        <f>+'Plan de Accion apoyo transversa'!BX138</f>
        <v>0</v>
      </c>
      <c r="AF291" s="266">
        <f>+'Plan de Accion apoyo transversa'!CK138</f>
        <v>0</v>
      </c>
      <c r="AG291" s="228">
        <f t="shared" si="259"/>
        <v>0</v>
      </c>
      <c r="AH291" s="266">
        <f>+'Plan de Accion apoyo transversa'!CB138</f>
        <v>0</v>
      </c>
      <c r="AI291" s="227">
        <f t="shared" si="252"/>
        <v>0</v>
      </c>
      <c r="AJ291" s="237"/>
      <c r="AL291" s="331"/>
      <c r="AM291" s="238"/>
      <c r="AN291" s="220"/>
      <c r="AO291" s="331"/>
      <c r="AP291" s="238"/>
      <c r="AQ291" s="220"/>
      <c r="AR291" s="331"/>
      <c r="AS291" s="238"/>
      <c r="AT291" s="220"/>
      <c r="AU291" s="331"/>
      <c r="AV291" s="238"/>
      <c r="AW291" s="218"/>
      <c r="AX291" s="237"/>
      <c r="AZ291" s="331"/>
      <c r="BA291" s="238"/>
      <c r="BB291" s="220"/>
      <c r="BC291" s="331"/>
      <c r="BD291" s="238"/>
      <c r="BE291" s="220"/>
      <c r="BF291" s="331"/>
      <c r="BG291" s="238"/>
      <c r="BH291" s="220"/>
      <c r="BI291" s="331"/>
      <c r="BJ291" s="238"/>
      <c r="BK291" s="218"/>
      <c r="BL291" s="237"/>
      <c r="BN291" s="331"/>
      <c r="BO291" s="238"/>
      <c r="BP291" s="220"/>
      <c r="BQ291" s="331"/>
      <c r="BR291" s="238"/>
      <c r="BS291" s="220"/>
      <c r="BT291" s="331"/>
      <c r="BU291" s="238"/>
      <c r="BV291" s="220"/>
      <c r="BW291" s="331"/>
      <c r="BX291" s="238"/>
      <c r="BY291" s="218"/>
      <c r="BZ291" s="237"/>
      <c r="CB291" s="331"/>
      <c r="CC291" s="238"/>
      <c r="CD291" s="220"/>
      <c r="CE291" s="331"/>
      <c r="CF291" s="238"/>
      <c r="CG291" s="220"/>
      <c r="CH291" s="331"/>
      <c r="CI291" s="238"/>
      <c r="CJ291" s="220"/>
      <c r="CK291" s="331"/>
      <c r="CL291" s="238"/>
      <c r="CM291" s="218"/>
      <c r="CN291" s="237"/>
    </row>
    <row r="292" spans="2:92" ht="43.5" thickBot="1" x14ac:dyDescent="0.25">
      <c r="B292" s="1228"/>
      <c r="C292" s="1241"/>
      <c r="D292" s="1210"/>
      <c r="E292" s="1212"/>
      <c r="F292" s="1203"/>
      <c r="G292" s="335" t="str">
        <f>+'Plan de Accion apoyo transversa'!X140</f>
        <v>Servicio de documentación de los servicios TI y Sistemas de Información</v>
      </c>
      <c r="H292" s="231" t="str">
        <f>+'Plan de Accion apoyo transversa'!AK140</f>
        <v># Manuales documentados/ # manuales requeridos</v>
      </c>
      <c r="J292" s="230">
        <f>+'Plan de Accion apoyo transversa'!AT140</f>
        <v>0</v>
      </c>
      <c r="K292" s="503" t="str">
        <f>+'Plan de Accion apoyo transversa'!CE140</f>
        <v>No Prog ni Ejec</v>
      </c>
      <c r="L292" s="503" t="s">
        <v>204</v>
      </c>
      <c r="M292" s="503">
        <f>+'Plan de Accion apoyo transversa'!AX140</f>
        <v>0</v>
      </c>
      <c r="N292" s="503">
        <f t="shared" si="226"/>
        <v>0</v>
      </c>
      <c r="O292" s="505" t="s">
        <v>204</v>
      </c>
      <c r="P292" s="229"/>
      <c r="Q292" s="230">
        <f>+'Plan de Accion apoyo transversa'!BD140</f>
        <v>0</v>
      </c>
      <c r="R292" s="266" t="str">
        <f>+'Plan de Accion apoyo transversa'!CG140</f>
        <v>No Prog ni Ejec</v>
      </c>
      <c r="S292" s="228" t="s">
        <v>204</v>
      </c>
      <c r="T292" s="324">
        <f>+'Plan de Accion apoyo transversa'!BH140</f>
        <v>0</v>
      </c>
      <c r="U292" s="324">
        <f t="shared" si="250"/>
        <v>0</v>
      </c>
      <c r="V292" s="227" t="s">
        <v>204</v>
      </c>
      <c r="W292" s="229"/>
      <c r="X292" s="230">
        <f>+'Plan de Accion apoyo transversa'!BN140</f>
        <v>0</v>
      </c>
      <c r="Y292" s="266">
        <f>+'Plan de Accion apoyo transversa'!CI140</f>
        <v>0</v>
      </c>
      <c r="Z292" s="228">
        <f>IF(Y292&gt;100%,100%,Y292)</f>
        <v>0</v>
      </c>
      <c r="AA292" s="233">
        <f>+'Plan de Accion apoyo transversa'!BR140</f>
        <v>0</v>
      </c>
      <c r="AB292" s="233">
        <f t="shared" si="260"/>
        <v>0</v>
      </c>
      <c r="AC292" s="232">
        <f>+AB292</f>
        <v>0</v>
      </c>
      <c r="AD292" s="229"/>
      <c r="AE292" s="230">
        <f>+'Plan de Accion apoyo transversa'!BX140</f>
        <v>0</v>
      </c>
      <c r="AF292" s="266">
        <f>+'Plan de Accion apoyo transversa'!CK140</f>
        <v>0</v>
      </c>
      <c r="AG292" s="228">
        <f t="shared" si="259"/>
        <v>0</v>
      </c>
      <c r="AH292" s="266">
        <f>+'Plan de Accion apoyo transversa'!CB140</f>
        <v>0</v>
      </c>
      <c r="AI292" s="227">
        <f t="shared" si="252"/>
        <v>0</v>
      </c>
      <c r="AJ292" s="237"/>
      <c r="AL292" s="331"/>
      <c r="AM292" s="238"/>
      <c r="AN292" s="220"/>
      <c r="AO292" s="331"/>
      <c r="AP292" s="238"/>
      <c r="AQ292" s="220"/>
      <c r="AR292" s="331"/>
      <c r="AS292" s="238"/>
      <c r="AT292" s="220"/>
      <c r="AU292" s="331"/>
      <c r="AV292" s="238"/>
      <c r="AW292" s="218"/>
      <c r="AX292" s="237"/>
      <c r="AZ292" s="331"/>
      <c r="BA292" s="238"/>
      <c r="BB292" s="220"/>
      <c r="BC292" s="331"/>
      <c r="BD292" s="238"/>
      <c r="BE292" s="220"/>
      <c r="BF292" s="331"/>
      <c r="BG292" s="238"/>
      <c r="BH292" s="220"/>
      <c r="BI292" s="331"/>
      <c r="BJ292" s="238"/>
      <c r="BK292" s="218"/>
      <c r="BL292" s="237"/>
      <c r="BN292" s="331"/>
      <c r="BO292" s="238"/>
      <c r="BP292" s="220"/>
      <c r="BQ292" s="331"/>
      <c r="BR292" s="238"/>
      <c r="BS292" s="220"/>
      <c r="BT292" s="331"/>
      <c r="BU292" s="238"/>
      <c r="BV292" s="220"/>
      <c r="BW292" s="331"/>
      <c r="BX292" s="238"/>
      <c r="BY292" s="218"/>
      <c r="BZ292" s="237"/>
      <c r="CB292" s="331"/>
      <c r="CC292" s="238"/>
      <c r="CD292" s="220"/>
      <c r="CE292" s="331"/>
      <c r="CF292" s="238"/>
      <c r="CG292" s="220"/>
      <c r="CH292" s="331"/>
      <c r="CI292" s="238"/>
      <c r="CJ292" s="220"/>
      <c r="CK292" s="331"/>
      <c r="CL292" s="238"/>
      <c r="CM292" s="218"/>
      <c r="CN292" s="237"/>
    </row>
    <row r="293" spans="2:92" ht="57.75" thickBot="1" x14ac:dyDescent="0.25">
      <c r="B293" s="1228"/>
      <c r="C293" s="1241"/>
      <c r="D293" s="1210"/>
      <c r="E293" s="1212"/>
      <c r="F293" s="319" t="s">
        <v>1193</v>
      </c>
      <c r="G293" s="335" t="str">
        <f>+'Plan de Accion apoyo transversa'!X139</f>
        <v>Plan Estratégico de TI  estructurado, elaborado y aprobado</v>
      </c>
      <c r="H293" s="231" t="str">
        <f>+'Plan de Accion apoyo transversa'!AK139</f>
        <v># Planes Estratégicos de TI elaborados.</v>
      </c>
      <c r="J293" s="234">
        <f>+'Plan de Accion apoyo transversa'!AT139</f>
        <v>0</v>
      </c>
      <c r="K293" s="503" t="str">
        <f>+'Plan de Accion apoyo transversa'!CE139</f>
        <v>No Prog ni Ejec</v>
      </c>
      <c r="L293" s="503" t="s">
        <v>204</v>
      </c>
      <c r="M293" s="503">
        <f>+'Plan de Accion apoyo transversa'!AX139</f>
        <v>0</v>
      </c>
      <c r="N293" s="503">
        <f t="shared" si="226"/>
        <v>0</v>
      </c>
      <c r="O293" s="505" t="s">
        <v>204</v>
      </c>
      <c r="P293" s="229"/>
      <c r="Q293" s="234">
        <f>+'Plan de Accion apoyo transversa'!BD139</f>
        <v>0</v>
      </c>
      <c r="R293" s="266" t="str">
        <f>+'Plan de Accion apoyo transversa'!CG139</f>
        <v>No Prog ni Ejec</v>
      </c>
      <c r="S293" s="228" t="s">
        <v>204</v>
      </c>
      <c r="T293" s="324">
        <f>+'Plan de Accion apoyo transversa'!BH139</f>
        <v>0</v>
      </c>
      <c r="U293" s="324">
        <f t="shared" si="250"/>
        <v>0</v>
      </c>
      <c r="V293" s="227" t="s">
        <v>204</v>
      </c>
      <c r="W293" s="229"/>
      <c r="X293" s="234">
        <f>+'Plan de Accion apoyo transversa'!BN139</f>
        <v>0</v>
      </c>
      <c r="Y293" s="266" t="str">
        <f>+'Plan de Accion apoyo transversa'!CI139</f>
        <v>No Prog ni Ejec</v>
      </c>
      <c r="Z293" s="228" t="s">
        <v>204</v>
      </c>
      <c r="AA293" s="233">
        <f>+'Plan de Accion apoyo transversa'!BR139</f>
        <v>0</v>
      </c>
      <c r="AB293" s="233">
        <f t="shared" si="260"/>
        <v>0</v>
      </c>
      <c r="AC293" s="232" t="s">
        <v>204</v>
      </c>
      <c r="AD293" s="229"/>
      <c r="AE293" s="234">
        <f>+'Plan de Accion apoyo transversa'!BX139</f>
        <v>0</v>
      </c>
      <c r="AF293" s="266">
        <f>+'Plan de Accion apoyo transversa'!CK139</f>
        <v>0</v>
      </c>
      <c r="AG293" s="228">
        <f t="shared" si="259"/>
        <v>0</v>
      </c>
      <c r="AH293" s="266">
        <f>+'Plan de Accion apoyo transversa'!CB139</f>
        <v>0</v>
      </c>
      <c r="AI293" s="227">
        <f t="shared" si="252"/>
        <v>0</v>
      </c>
      <c r="AJ293" s="237"/>
      <c r="AL293" s="331"/>
      <c r="AM293" s="238"/>
      <c r="AN293" s="220"/>
      <c r="AO293" s="331"/>
      <c r="AP293" s="238"/>
      <c r="AQ293" s="220"/>
      <c r="AR293" s="331"/>
      <c r="AS293" s="238"/>
      <c r="AT293" s="220"/>
      <c r="AU293" s="331"/>
      <c r="AV293" s="238"/>
      <c r="AW293" s="218"/>
      <c r="AX293" s="237"/>
      <c r="AZ293" s="331"/>
      <c r="BA293" s="238"/>
      <c r="BB293" s="220"/>
      <c r="BC293" s="331"/>
      <c r="BD293" s="238"/>
      <c r="BE293" s="220"/>
      <c r="BF293" s="331"/>
      <c r="BG293" s="238"/>
      <c r="BH293" s="220"/>
      <c r="BI293" s="331"/>
      <c r="BJ293" s="238"/>
      <c r="BK293" s="218"/>
      <c r="BL293" s="237"/>
      <c r="BN293" s="331"/>
      <c r="BO293" s="238"/>
      <c r="BP293" s="220"/>
      <c r="BQ293" s="331"/>
      <c r="BR293" s="238"/>
      <c r="BS293" s="220"/>
      <c r="BT293" s="331"/>
      <c r="BU293" s="238"/>
      <c r="BV293" s="220"/>
      <c r="BW293" s="331"/>
      <c r="BX293" s="238"/>
      <c r="BY293" s="218"/>
      <c r="BZ293" s="237"/>
      <c r="CB293" s="331"/>
      <c r="CC293" s="238"/>
      <c r="CD293" s="220"/>
      <c r="CE293" s="331"/>
      <c r="CF293" s="238"/>
      <c r="CG293" s="220"/>
      <c r="CH293" s="331"/>
      <c r="CI293" s="238"/>
      <c r="CJ293" s="220"/>
      <c r="CK293" s="331"/>
      <c r="CL293" s="238"/>
      <c r="CM293" s="218"/>
      <c r="CN293" s="237"/>
    </row>
    <row r="294" spans="2:92" ht="100.5" thickBot="1" x14ac:dyDescent="0.25">
      <c r="B294" s="1228"/>
      <c r="C294" s="1241"/>
      <c r="D294" s="1210"/>
      <c r="E294" s="1212"/>
      <c r="F294" s="320" t="s">
        <v>336</v>
      </c>
      <c r="G294" s="335" t="str">
        <f>+'Plan de Accion apoyo transversa'!X141</f>
        <v>Reuniones de autocontrol y seguimiento a  los procesos que evidencien monitoreo a los riesgos, indicadores, planes de mejoramiento, manuales y documentos asociados</v>
      </c>
      <c r="H294" s="231" t="str">
        <f>+'Plan de Accion apoyo transversa'!AK141</f>
        <v># reuniones realizadas</v>
      </c>
      <c r="J294" s="234">
        <f>+'Plan de Accion apoyo transversa'!AT141</f>
        <v>0</v>
      </c>
      <c r="K294" s="503" t="str">
        <f>+'Plan de Accion apoyo transversa'!CE141</f>
        <v>No Prog ni Ejec</v>
      </c>
      <c r="L294" s="503" t="s">
        <v>204</v>
      </c>
      <c r="M294" s="503">
        <f>+'Plan de Accion apoyo transversa'!AX141</f>
        <v>0</v>
      </c>
      <c r="N294" s="503">
        <f t="shared" si="226"/>
        <v>0</v>
      </c>
      <c r="O294" s="505" t="s">
        <v>204</v>
      </c>
      <c r="P294" s="229"/>
      <c r="Q294" s="234">
        <f>+'Plan de Accion apoyo transversa'!BD141</f>
        <v>1</v>
      </c>
      <c r="R294" s="266">
        <f>+'Plan de Accion apoyo transversa'!CG141</f>
        <v>1</v>
      </c>
      <c r="S294" s="228">
        <f>IF(R294&gt;100%,100%,R294)</f>
        <v>1</v>
      </c>
      <c r="T294" s="324">
        <f>+'Plan de Accion apoyo transversa'!BH141</f>
        <v>0.33333333333333331</v>
      </c>
      <c r="U294" s="324">
        <f t="shared" si="250"/>
        <v>0.33333333333333331</v>
      </c>
      <c r="V294" s="227">
        <f>+U294</f>
        <v>0.33333333333333331</v>
      </c>
      <c r="W294" s="229"/>
      <c r="X294" s="234">
        <f>+'Plan de Accion apoyo transversa'!BN141</f>
        <v>0</v>
      </c>
      <c r="Y294" s="266">
        <f>+'Plan de Accion apoyo transversa'!CI141</f>
        <v>0</v>
      </c>
      <c r="Z294" s="228">
        <f>IF(Y294&gt;100%,100%,Y294)</f>
        <v>0</v>
      </c>
      <c r="AA294" s="233">
        <f>+'Plan de Accion apoyo transversa'!BR141</f>
        <v>0.33333333333333331</v>
      </c>
      <c r="AB294" s="233">
        <f t="shared" si="260"/>
        <v>0.33333333333333331</v>
      </c>
      <c r="AC294" s="232">
        <f t="shared" ref="AC294:AC300" si="261">+AB294</f>
        <v>0.33333333333333331</v>
      </c>
      <c r="AD294" s="229"/>
      <c r="AE294" s="234">
        <f>+'Plan de Accion apoyo transversa'!BX141</f>
        <v>0</v>
      </c>
      <c r="AF294" s="266">
        <f>+'Plan de Accion apoyo transversa'!CK141</f>
        <v>0</v>
      </c>
      <c r="AG294" s="228">
        <f t="shared" si="259"/>
        <v>0</v>
      </c>
      <c r="AH294" s="266">
        <f>+'Plan de Accion apoyo transversa'!CB141</f>
        <v>0.33333333333333331</v>
      </c>
      <c r="AI294" s="227">
        <f t="shared" si="252"/>
        <v>0.33333333333333331</v>
      </c>
      <c r="AJ294" s="237"/>
      <c r="AL294" s="331"/>
      <c r="AM294" s="238"/>
      <c r="AN294" s="220"/>
      <c r="AO294" s="331"/>
      <c r="AP294" s="238"/>
      <c r="AQ294" s="220"/>
      <c r="AR294" s="331"/>
      <c r="AS294" s="238"/>
      <c r="AT294" s="220"/>
      <c r="AU294" s="331"/>
      <c r="AV294" s="238"/>
      <c r="AW294" s="218"/>
      <c r="AX294" s="237"/>
      <c r="AZ294" s="331"/>
      <c r="BA294" s="238"/>
      <c r="BB294" s="220"/>
      <c r="BC294" s="331"/>
      <c r="BD294" s="238"/>
      <c r="BE294" s="220"/>
      <c r="BF294" s="331"/>
      <c r="BG294" s="238"/>
      <c r="BH294" s="220"/>
      <c r="BI294" s="331"/>
      <c r="BJ294" s="238"/>
      <c r="BK294" s="218"/>
      <c r="BL294" s="237"/>
      <c r="BN294" s="331"/>
      <c r="BO294" s="238"/>
      <c r="BP294" s="220"/>
      <c r="BQ294" s="331"/>
      <c r="BR294" s="238"/>
      <c r="BS294" s="220"/>
      <c r="BT294" s="331"/>
      <c r="BU294" s="238"/>
      <c r="BV294" s="220"/>
      <c r="BW294" s="331"/>
      <c r="BX294" s="238"/>
      <c r="BY294" s="218"/>
      <c r="BZ294" s="237"/>
      <c r="CB294" s="331"/>
      <c r="CC294" s="238"/>
      <c r="CD294" s="220"/>
      <c r="CE294" s="331"/>
      <c r="CF294" s="238"/>
      <c r="CG294" s="220"/>
      <c r="CH294" s="331"/>
      <c r="CI294" s="238"/>
      <c r="CJ294" s="220"/>
      <c r="CK294" s="331"/>
      <c r="CL294" s="238"/>
      <c r="CM294" s="218"/>
      <c r="CN294" s="237"/>
    </row>
    <row r="295" spans="2:92" ht="129" customHeight="1" thickBot="1" x14ac:dyDescent="0.25">
      <c r="B295" s="1228"/>
      <c r="C295" s="1241"/>
      <c r="D295" s="1210"/>
      <c r="E295" s="1212"/>
      <c r="F295" s="1201" t="s">
        <v>1194</v>
      </c>
      <c r="G295" s="335" t="str">
        <f>+'Plan de Accion apoyo transversa'!X143</f>
        <v>Política aprobada y publicada en la página Web</v>
      </c>
      <c r="H295" s="231" t="str">
        <f>+'Plan de Accion apoyo transversa'!AK143</f>
        <v># Políticas aprobadas y publicadas en la página Web</v>
      </c>
      <c r="J295" s="234">
        <f>+'Plan de Accion apoyo transversa'!AT143</f>
        <v>0</v>
      </c>
      <c r="K295" s="503" t="str">
        <f>+'Plan de Accion apoyo transversa'!CE143</f>
        <v>No Prog ni Ejec</v>
      </c>
      <c r="L295" s="503" t="s">
        <v>204</v>
      </c>
      <c r="M295" s="503">
        <f>+'Plan de Accion apoyo transversa'!AX143</f>
        <v>0</v>
      </c>
      <c r="N295" s="503">
        <f t="shared" si="226"/>
        <v>0</v>
      </c>
      <c r="O295" s="505" t="s">
        <v>204</v>
      </c>
      <c r="P295" s="229"/>
      <c r="Q295" s="234">
        <f>+'Plan de Accion apoyo transversa'!BD143</f>
        <v>0</v>
      </c>
      <c r="R295" s="266">
        <f>+'Plan de Accion apoyo transversa'!CG143</f>
        <v>0</v>
      </c>
      <c r="S295" s="228">
        <f>IF(R295&gt;100%,100%,R295)</f>
        <v>0</v>
      </c>
      <c r="T295" s="324">
        <f>+'Plan de Accion apoyo transversa'!BH143</f>
        <v>0</v>
      </c>
      <c r="U295" s="324">
        <f t="shared" si="250"/>
        <v>0</v>
      </c>
      <c r="V295" s="227">
        <f>+U295</f>
        <v>0</v>
      </c>
      <c r="W295" s="229"/>
      <c r="X295" s="234">
        <f>+'Plan de Accion apoyo transversa'!BN143</f>
        <v>0</v>
      </c>
      <c r="Y295" s="266" t="str">
        <f>+'Plan de Accion apoyo transversa'!CI143</f>
        <v>No Prog ni Ejec</v>
      </c>
      <c r="Z295" s="228" t="s">
        <v>204</v>
      </c>
      <c r="AA295" s="233">
        <f>+'Plan de Accion apoyo transversa'!BR143</f>
        <v>0</v>
      </c>
      <c r="AB295" s="233">
        <f t="shared" si="260"/>
        <v>0</v>
      </c>
      <c r="AC295" s="232">
        <f t="shared" si="261"/>
        <v>0</v>
      </c>
      <c r="AD295" s="229"/>
      <c r="AE295" s="234">
        <f>+'Plan de Accion apoyo transversa'!BX143</f>
        <v>0</v>
      </c>
      <c r="AF295" s="266" t="str">
        <f>+'Plan de Accion apoyo transversa'!CK143</f>
        <v>No Prog ni Ejec</v>
      </c>
      <c r="AG295" s="228" t="s">
        <v>204</v>
      </c>
      <c r="AH295" s="266">
        <f>+'Plan de Accion apoyo transversa'!CB143</f>
        <v>0</v>
      </c>
      <c r="AI295" s="227">
        <f t="shared" si="252"/>
        <v>0</v>
      </c>
      <c r="AJ295" s="237"/>
      <c r="AL295" s="331"/>
      <c r="AM295" s="238"/>
      <c r="AN295" s="220"/>
      <c r="AO295" s="331"/>
      <c r="AP295" s="238"/>
      <c r="AQ295" s="220"/>
      <c r="AR295" s="331"/>
      <c r="AS295" s="238"/>
      <c r="AT295" s="220"/>
      <c r="AU295" s="331"/>
      <c r="AV295" s="238"/>
      <c r="AW295" s="218"/>
      <c r="AX295" s="237"/>
      <c r="AZ295" s="331"/>
      <c r="BA295" s="238"/>
      <c r="BB295" s="220"/>
      <c r="BC295" s="331"/>
      <c r="BD295" s="238"/>
      <c r="BE295" s="220"/>
      <c r="BF295" s="331"/>
      <c r="BG295" s="238"/>
      <c r="BH295" s="220"/>
      <c r="BI295" s="331"/>
      <c r="BJ295" s="238"/>
      <c r="BK295" s="218"/>
      <c r="BL295" s="237"/>
      <c r="BN295" s="331"/>
      <c r="BO295" s="238"/>
      <c r="BP295" s="220"/>
      <c r="BQ295" s="331"/>
      <c r="BR295" s="238"/>
      <c r="BS295" s="220"/>
      <c r="BT295" s="331"/>
      <c r="BU295" s="238"/>
      <c r="BV295" s="220"/>
      <c r="BW295" s="331"/>
      <c r="BX295" s="238"/>
      <c r="BY295" s="218"/>
      <c r="BZ295" s="237"/>
      <c r="CB295" s="331"/>
      <c r="CC295" s="238"/>
      <c r="CD295" s="220"/>
      <c r="CE295" s="331"/>
      <c r="CF295" s="238"/>
      <c r="CG295" s="220"/>
      <c r="CH295" s="331"/>
      <c r="CI295" s="238"/>
      <c r="CJ295" s="220"/>
      <c r="CK295" s="331"/>
      <c r="CL295" s="238"/>
      <c r="CM295" s="218"/>
      <c r="CN295" s="237"/>
    </row>
    <row r="296" spans="2:92" ht="57.75" thickBot="1" x14ac:dyDescent="0.25">
      <c r="B296" s="1228"/>
      <c r="C296" s="1241"/>
      <c r="D296" s="1203"/>
      <c r="E296" s="1213"/>
      <c r="F296" s="1201"/>
      <c r="G296" s="335" t="str">
        <f>+'Plan de Accion apoyo transversa'!X144</f>
        <v xml:space="preserve">Procesos con Riesgos de Seguridad de la Información identificados </v>
      </c>
      <c r="H296" s="231" t="str">
        <f>+'Plan de Accion apoyo transversa'!AK144</f>
        <v># Procesos con riesgos de Seguridad de la Información identificados / # procesos vigentes</v>
      </c>
      <c r="J296" s="234">
        <f>+'Plan de Accion apoyo transversa'!AT144</f>
        <v>0</v>
      </c>
      <c r="K296" s="503" t="str">
        <f>+'Plan de Accion apoyo transversa'!CE144</f>
        <v>No Prog ni Ejec</v>
      </c>
      <c r="L296" s="503" t="s">
        <v>204</v>
      </c>
      <c r="M296" s="503">
        <f>+'Plan de Accion apoyo transversa'!AX144</f>
        <v>0</v>
      </c>
      <c r="N296" s="503">
        <f t="shared" si="226"/>
        <v>0</v>
      </c>
      <c r="O296" s="505" t="s">
        <v>204</v>
      </c>
      <c r="P296" s="229"/>
      <c r="Q296" s="230">
        <f>+'Plan de Accion apoyo transversa'!BD144</f>
        <v>0</v>
      </c>
      <c r="R296" s="266" t="str">
        <f>+'Plan de Accion apoyo transversa'!CG144</f>
        <v>No Prog ni Ejec</v>
      </c>
      <c r="S296" s="228" t="s">
        <v>204</v>
      </c>
      <c r="T296" s="324">
        <f>+'Plan de Accion apoyo transversa'!BH144</f>
        <v>0</v>
      </c>
      <c r="U296" s="324">
        <f t="shared" si="250"/>
        <v>0</v>
      </c>
      <c r="V296" s="227" t="s">
        <v>204</v>
      </c>
      <c r="W296" s="229"/>
      <c r="X296" s="230">
        <f>+'Plan de Accion apoyo transversa'!BN144</f>
        <v>0</v>
      </c>
      <c r="Y296" s="266" t="str">
        <f>+'Plan de Accion apoyo transversa'!CI144</f>
        <v>No Prog ni Ejec</v>
      </c>
      <c r="Z296" s="228" t="s">
        <v>204</v>
      </c>
      <c r="AA296" s="233">
        <f>+'Plan de Accion apoyo transversa'!BR144</f>
        <v>0</v>
      </c>
      <c r="AB296" s="233">
        <f t="shared" si="260"/>
        <v>0</v>
      </c>
      <c r="AC296" s="232">
        <f t="shared" si="261"/>
        <v>0</v>
      </c>
      <c r="AD296" s="229"/>
      <c r="AE296" s="230">
        <f>+'Plan de Accion apoyo transversa'!BX144</f>
        <v>0</v>
      </c>
      <c r="AF296" s="266">
        <f>+'Plan de Accion apoyo transversa'!CK144</f>
        <v>0</v>
      </c>
      <c r="AG296" s="228">
        <f>IF(AF296&gt;100%,100%,AF296)</f>
        <v>0</v>
      </c>
      <c r="AH296" s="266">
        <f>+'Plan de Accion apoyo transversa'!CB144</f>
        <v>0</v>
      </c>
      <c r="AI296" s="227">
        <f t="shared" si="252"/>
        <v>0</v>
      </c>
      <c r="AJ296" s="237"/>
      <c r="AL296" s="331"/>
      <c r="AM296" s="238"/>
      <c r="AN296" s="220"/>
      <c r="AO296" s="331"/>
      <c r="AP296" s="238"/>
      <c r="AQ296" s="220"/>
      <c r="AR296" s="331"/>
      <c r="AS296" s="238"/>
      <c r="AT296" s="220"/>
      <c r="AU296" s="331"/>
      <c r="AV296" s="238"/>
      <c r="AW296" s="218"/>
      <c r="AX296" s="237"/>
      <c r="AZ296" s="331"/>
      <c r="BA296" s="238"/>
      <c r="BB296" s="220"/>
      <c r="BC296" s="331"/>
      <c r="BD296" s="238"/>
      <c r="BE296" s="220"/>
      <c r="BF296" s="331"/>
      <c r="BG296" s="238"/>
      <c r="BH296" s="220"/>
      <c r="BI296" s="331"/>
      <c r="BJ296" s="238"/>
      <c r="BK296" s="218"/>
      <c r="BL296" s="237"/>
      <c r="BN296" s="331"/>
      <c r="BO296" s="238"/>
      <c r="BP296" s="220"/>
      <c r="BQ296" s="331"/>
      <c r="BR296" s="238"/>
      <c r="BS296" s="220"/>
      <c r="BT296" s="331"/>
      <c r="BU296" s="238"/>
      <c r="BV296" s="220"/>
      <c r="BW296" s="331"/>
      <c r="BX296" s="238"/>
      <c r="BY296" s="218"/>
      <c r="BZ296" s="237"/>
      <c r="CB296" s="331"/>
      <c r="CC296" s="238"/>
      <c r="CD296" s="220"/>
      <c r="CE296" s="331"/>
      <c r="CF296" s="238"/>
      <c r="CG296" s="220"/>
      <c r="CH296" s="331"/>
      <c r="CI296" s="238"/>
      <c r="CJ296" s="220"/>
      <c r="CK296" s="331"/>
      <c r="CL296" s="238"/>
      <c r="CM296" s="218"/>
      <c r="CN296" s="237"/>
    </row>
    <row r="297" spans="2:92" ht="72" thickBot="1" x14ac:dyDescent="0.25">
      <c r="B297" s="1228"/>
      <c r="C297" s="1241"/>
      <c r="D297" s="1202" t="s">
        <v>204</v>
      </c>
      <c r="E297" s="1211" t="s">
        <v>1197</v>
      </c>
      <c r="F297" s="1202" t="s">
        <v>336</v>
      </c>
      <c r="G297" s="335" t="str">
        <f>+'Plan de Accion apoyo transversa'!X152</f>
        <v>Acto Administrativo que formaliza para ADRES la actualización de la Política de Administración de Riesgos</v>
      </c>
      <c r="H297" s="231" t="str">
        <f>+'Plan de Accion apoyo transversa'!AK152</f>
        <v># Actos administrativos de formalización de la política</v>
      </c>
      <c r="J297" s="234">
        <f>+'Plan de Accion apoyo transversa'!AT152</f>
        <v>0</v>
      </c>
      <c r="K297" s="503" t="str">
        <f>+'Plan de Accion apoyo transversa'!CE152</f>
        <v>No Prog ni Ejec</v>
      </c>
      <c r="L297" s="503" t="s">
        <v>204</v>
      </c>
      <c r="M297" s="503">
        <f>+'Plan de Accion apoyo transversa'!AX152</f>
        <v>0</v>
      </c>
      <c r="N297" s="503">
        <f t="shared" si="226"/>
        <v>0</v>
      </c>
      <c r="O297" s="505" t="s">
        <v>204</v>
      </c>
      <c r="P297" s="229"/>
      <c r="Q297" s="234">
        <f>+'Plan de Accion apoyo transversa'!BD152</f>
        <v>1</v>
      </c>
      <c r="R297" s="266">
        <f>+'Plan de Accion apoyo transversa'!CG152</f>
        <v>1</v>
      </c>
      <c r="S297" s="228">
        <f t="shared" ref="S297:S303" si="262">IF(R297&gt;100%,100%,R297)</f>
        <v>1</v>
      </c>
      <c r="T297" s="324">
        <f>+'Plan de Accion apoyo transversa'!BH152</f>
        <v>1</v>
      </c>
      <c r="U297" s="324">
        <f t="shared" si="250"/>
        <v>1</v>
      </c>
      <c r="V297" s="227">
        <f t="shared" ref="V297:V303" si="263">+U297</f>
        <v>1</v>
      </c>
      <c r="W297" s="229"/>
      <c r="X297" s="234">
        <f>+'Plan de Accion apoyo transversa'!BN152</f>
        <v>0</v>
      </c>
      <c r="Y297" s="266" t="str">
        <f>+'Plan de Accion apoyo transversa'!CI152</f>
        <v>No Prog ni Ejec</v>
      </c>
      <c r="Z297" s="228" t="s">
        <v>204</v>
      </c>
      <c r="AA297" s="233">
        <f>+'Plan de Accion apoyo transversa'!BR152</f>
        <v>1</v>
      </c>
      <c r="AB297" s="233">
        <f t="shared" si="260"/>
        <v>1</v>
      </c>
      <c r="AC297" s="232">
        <f t="shared" si="261"/>
        <v>1</v>
      </c>
      <c r="AD297" s="229"/>
      <c r="AE297" s="234">
        <f>+'Plan de Accion apoyo transversa'!BX152</f>
        <v>0</v>
      </c>
      <c r="AF297" s="266" t="str">
        <f>+'Plan de Accion apoyo transversa'!CK152</f>
        <v>No Prog ni Ejec</v>
      </c>
      <c r="AG297" s="228" t="s">
        <v>204</v>
      </c>
      <c r="AH297" s="266">
        <f>+'Plan de Accion apoyo transversa'!CB152</f>
        <v>1</v>
      </c>
      <c r="AI297" s="227">
        <f t="shared" si="252"/>
        <v>1</v>
      </c>
      <c r="AJ297" s="237"/>
      <c r="AL297" s="331"/>
      <c r="AM297" s="238"/>
      <c r="AN297" s="220"/>
      <c r="AO297" s="331"/>
      <c r="AP297" s="238"/>
      <c r="AQ297" s="220"/>
      <c r="AR297" s="331"/>
      <c r="AS297" s="238"/>
      <c r="AT297" s="220"/>
      <c r="AU297" s="331"/>
      <c r="AV297" s="238"/>
      <c r="AW297" s="218"/>
      <c r="AX297" s="237"/>
      <c r="AZ297" s="331"/>
      <c r="BA297" s="238"/>
      <c r="BB297" s="220"/>
      <c r="BC297" s="331"/>
      <c r="BD297" s="238"/>
      <c r="BE297" s="220"/>
      <c r="BF297" s="331"/>
      <c r="BG297" s="238"/>
      <c r="BH297" s="220"/>
      <c r="BI297" s="331"/>
      <c r="BJ297" s="238"/>
      <c r="BK297" s="218"/>
      <c r="BL297" s="237"/>
      <c r="BN297" s="331"/>
      <c r="BO297" s="238"/>
      <c r="BP297" s="220"/>
      <c r="BQ297" s="331"/>
      <c r="BR297" s="238"/>
      <c r="BS297" s="220"/>
      <c r="BT297" s="331"/>
      <c r="BU297" s="238"/>
      <c r="BV297" s="220"/>
      <c r="BW297" s="331"/>
      <c r="BX297" s="238"/>
      <c r="BY297" s="218"/>
      <c r="BZ297" s="237"/>
      <c r="CB297" s="331"/>
      <c r="CC297" s="238"/>
      <c r="CD297" s="220"/>
      <c r="CE297" s="331"/>
      <c r="CF297" s="238"/>
      <c r="CG297" s="220"/>
      <c r="CH297" s="331"/>
      <c r="CI297" s="238"/>
      <c r="CJ297" s="220"/>
      <c r="CK297" s="331"/>
      <c r="CL297" s="238"/>
      <c r="CM297" s="218"/>
      <c r="CN297" s="237"/>
    </row>
    <row r="298" spans="2:92" ht="43.5" thickBot="1" x14ac:dyDescent="0.25">
      <c r="B298" s="1228"/>
      <c r="C298" s="1241"/>
      <c r="D298" s="1210"/>
      <c r="E298" s="1212"/>
      <c r="F298" s="1210"/>
      <c r="G298" s="1211" t="str">
        <f>+'Plan de Accion apoyo transversa'!X155</f>
        <v>Mapa de riesgos actualizado, publicado y socializado</v>
      </c>
      <c r="H298" s="231" t="str">
        <f>+'Plan de Accion apoyo transversa'!AK155</f>
        <v xml:space="preserve"># Riesgos actualizados en el Mapa de Riesgos Institucional / Total de Riesgos </v>
      </c>
      <c r="J298" s="230">
        <f>+'Plan de Accion apoyo transversa'!AT155</f>
        <v>9.7826086956521743E-2</v>
      </c>
      <c r="K298" s="503">
        <f>+'Plan de Accion apoyo transversa'!CE155</f>
        <v>0.39130434782608697</v>
      </c>
      <c r="L298" s="503">
        <f>IF(K298&gt;100%,100%,K298)</f>
        <v>0.39130434782608697</v>
      </c>
      <c r="M298" s="503">
        <f>+'Plan de Accion apoyo transversa'!AX155</f>
        <v>9.7826086956521743E-2</v>
      </c>
      <c r="N298" s="503">
        <f t="shared" si="226"/>
        <v>9.7826086956521743E-2</v>
      </c>
      <c r="O298" s="505">
        <f>+N298</f>
        <v>9.7826086956521743E-2</v>
      </c>
      <c r="P298" s="229"/>
      <c r="Q298" s="230">
        <f>+'Plan de Accion apoyo transversa'!BD155</f>
        <v>0</v>
      </c>
      <c r="R298" s="266" t="str">
        <f>+'Plan de Accion apoyo transversa'!CG155</f>
        <v>No Prog ni Ejec</v>
      </c>
      <c r="S298" s="228" t="s">
        <v>204</v>
      </c>
      <c r="T298" s="324">
        <f>+'Plan de Accion apoyo transversa'!BH155</f>
        <v>9.7826086956521743E-2</v>
      </c>
      <c r="U298" s="324">
        <f t="shared" si="250"/>
        <v>9.7826086956521743E-2</v>
      </c>
      <c r="V298" s="227">
        <f t="shared" si="263"/>
        <v>9.7826086956521743E-2</v>
      </c>
      <c r="W298" s="229"/>
      <c r="X298" s="230">
        <f>+'Plan de Accion apoyo transversa'!BN155</f>
        <v>0</v>
      </c>
      <c r="Y298" s="266">
        <f>+'Plan de Accion apoyo transversa'!CI155</f>
        <v>0</v>
      </c>
      <c r="Z298" s="228">
        <f t="shared" ref="Z298:Z304" si="264">IF(Y298&gt;100%,100%,Y298)</f>
        <v>0</v>
      </c>
      <c r="AA298" s="233">
        <f>+'Plan de Accion apoyo transversa'!BR155</f>
        <v>9.7826086956521743E-2</v>
      </c>
      <c r="AB298" s="233">
        <f t="shared" si="260"/>
        <v>9.7826086956521743E-2</v>
      </c>
      <c r="AC298" s="232">
        <f t="shared" si="261"/>
        <v>9.7826086956521743E-2</v>
      </c>
      <c r="AD298" s="229"/>
      <c r="AE298" s="230">
        <f>+'Plan de Accion apoyo transversa'!BX155</f>
        <v>0</v>
      </c>
      <c r="AF298" s="266" t="str">
        <f>+'Plan de Accion apoyo transversa'!CK155</f>
        <v>No Prog ni Ejec</v>
      </c>
      <c r="AG298" s="228" t="s">
        <v>204</v>
      </c>
      <c r="AH298" s="266">
        <f>+'Plan de Accion apoyo transversa'!CB155</f>
        <v>9.7826086956521743E-2</v>
      </c>
      <c r="AI298" s="227">
        <f t="shared" si="252"/>
        <v>9.7826086956521743E-2</v>
      </c>
      <c r="AJ298" s="237"/>
      <c r="AL298" s="331"/>
      <c r="AM298" s="238"/>
      <c r="AN298" s="220"/>
      <c r="AO298" s="331"/>
      <c r="AP298" s="238"/>
      <c r="AQ298" s="220"/>
      <c r="AR298" s="331"/>
      <c r="AS298" s="238"/>
      <c r="AT298" s="220"/>
      <c r="AU298" s="331"/>
      <c r="AV298" s="238"/>
      <c r="AW298" s="218"/>
      <c r="AX298" s="237"/>
      <c r="AZ298" s="331"/>
      <c r="BA298" s="238"/>
      <c r="BB298" s="220"/>
      <c r="BC298" s="331"/>
      <c r="BD298" s="238"/>
      <c r="BE298" s="220"/>
      <c r="BF298" s="331"/>
      <c r="BG298" s="238"/>
      <c r="BH298" s="220"/>
      <c r="BI298" s="331"/>
      <c r="BJ298" s="238"/>
      <c r="BK298" s="218"/>
      <c r="BL298" s="237"/>
      <c r="BN298" s="331"/>
      <c r="BO298" s="238"/>
      <c r="BP298" s="220"/>
      <c r="BQ298" s="331"/>
      <c r="BR298" s="238"/>
      <c r="BS298" s="220"/>
      <c r="BT298" s="331"/>
      <c r="BU298" s="238"/>
      <c r="BV298" s="220"/>
      <c r="BW298" s="331"/>
      <c r="BX298" s="238"/>
      <c r="BY298" s="218"/>
      <c r="BZ298" s="237"/>
      <c r="CB298" s="331"/>
      <c r="CC298" s="238"/>
      <c r="CD298" s="220"/>
      <c r="CE298" s="331"/>
      <c r="CF298" s="238"/>
      <c r="CG298" s="220"/>
      <c r="CH298" s="331"/>
      <c r="CI298" s="238"/>
      <c r="CJ298" s="220"/>
      <c r="CK298" s="331"/>
      <c r="CL298" s="238"/>
      <c r="CM298" s="218"/>
      <c r="CN298" s="237"/>
    </row>
    <row r="299" spans="2:92" ht="57.75" thickBot="1" x14ac:dyDescent="0.25">
      <c r="B299" s="1228"/>
      <c r="C299" s="1241"/>
      <c r="D299" s="1210"/>
      <c r="E299" s="1212"/>
      <c r="F299" s="1210"/>
      <c r="G299" s="1212"/>
      <c r="H299" s="231" t="str">
        <f>+'Plan de Accion apoyo transversa'!AK156</f>
        <v># Mapas de riesgos publicado en página web y socializado a todo el personal de la entidad mediante correo electrónico</v>
      </c>
      <c r="J299" s="230">
        <f>+'Plan de Accion apoyo transversa'!AT156</f>
        <v>0</v>
      </c>
      <c r="K299" s="672" t="str">
        <f>+'Plan de Accion apoyo transversa'!CE156</f>
        <v>No Prog ni Ejec</v>
      </c>
      <c r="L299" s="672" t="s">
        <v>204</v>
      </c>
      <c r="M299" s="672">
        <f>+'Plan de Accion apoyo transversa'!AX156</f>
        <v>0</v>
      </c>
      <c r="N299" s="672">
        <f t="shared" ref="N299:N300" si="265">IF(M299&gt;100%,100%,M299)</f>
        <v>0</v>
      </c>
      <c r="O299" s="673" t="s">
        <v>204</v>
      </c>
      <c r="P299" s="229"/>
      <c r="Q299" s="230">
        <f>+'Plan de Accion apoyo transversa'!BD156</f>
        <v>0</v>
      </c>
      <c r="R299" s="266" t="str">
        <f>+'Plan de Accion apoyo transversa'!CG156</f>
        <v>No Prog ni Ejec</v>
      </c>
      <c r="S299" s="228" t="s">
        <v>204</v>
      </c>
      <c r="T299" s="672">
        <f>+'Plan de Accion apoyo transversa'!BH156</f>
        <v>0</v>
      </c>
      <c r="U299" s="672">
        <f t="shared" ref="U299" si="266">IF(T299&gt;100%,100%,T299)</f>
        <v>0</v>
      </c>
      <c r="V299" s="227" t="s">
        <v>204</v>
      </c>
      <c r="W299" s="229"/>
      <c r="X299" s="230">
        <f>+'Plan de Accion apoyo transversa'!BN156</f>
        <v>0</v>
      </c>
      <c r="Y299" s="266" t="str">
        <f>+'Plan de Accion apoyo transversa'!CI156</f>
        <v>No Prog ni Ejec</v>
      </c>
      <c r="Z299" s="228" t="s">
        <v>204</v>
      </c>
      <c r="AA299" s="233">
        <f>+'Plan de Accion apoyo transversa'!BR156</f>
        <v>0</v>
      </c>
      <c r="AB299" s="233">
        <f t="shared" ref="AB299" si="267">IF(AA299&gt;100%,100%,AA299)</f>
        <v>0</v>
      </c>
      <c r="AC299" s="232" t="s">
        <v>204</v>
      </c>
      <c r="AD299" s="229"/>
      <c r="AE299" s="230">
        <f>+'Plan de Accion apoyo transversa'!BX156</f>
        <v>0</v>
      </c>
      <c r="AF299" s="266">
        <f>+'Plan de Accion apoyo transversa'!CK156</f>
        <v>0</v>
      </c>
      <c r="AG299" s="228">
        <f t="shared" ref="AG299" si="268">IF(AF299&gt;100%,100%,AF299)</f>
        <v>0</v>
      </c>
      <c r="AH299" s="266">
        <f>+'Plan de Accion apoyo transversa'!CB156</f>
        <v>0</v>
      </c>
      <c r="AI299" s="227">
        <f t="shared" ref="AI299" si="269">IF(AH299&gt;100%,100%,AH299)</f>
        <v>0</v>
      </c>
      <c r="AJ299" s="237"/>
      <c r="AL299" s="674"/>
      <c r="AM299" s="238"/>
      <c r="AN299" s="220"/>
      <c r="AO299" s="674"/>
      <c r="AP299" s="238"/>
      <c r="AQ299" s="220"/>
      <c r="AR299" s="674"/>
      <c r="AS299" s="238"/>
      <c r="AT299" s="220"/>
      <c r="AU299" s="674"/>
      <c r="AV299" s="238"/>
      <c r="AW299" s="218"/>
      <c r="AX299" s="237"/>
      <c r="AZ299" s="674"/>
      <c r="BA299" s="238"/>
      <c r="BB299" s="220"/>
      <c r="BC299" s="674"/>
      <c r="BD299" s="238"/>
      <c r="BE299" s="220"/>
      <c r="BF299" s="674"/>
      <c r="BG299" s="238"/>
      <c r="BH299" s="220"/>
      <c r="BI299" s="674"/>
      <c r="BJ299" s="238"/>
      <c r="BK299" s="218"/>
      <c r="BL299" s="237"/>
      <c r="BN299" s="674"/>
      <c r="BO299" s="238"/>
      <c r="BP299" s="220"/>
      <c r="BQ299" s="674"/>
      <c r="BR299" s="238"/>
      <c r="BS299" s="220"/>
      <c r="BT299" s="674"/>
      <c r="BU299" s="238"/>
      <c r="BV299" s="220"/>
      <c r="BW299" s="674"/>
      <c r="BX299" s="238"/>
      <c r="BY299" s="218"/>
      <c r="BZ299" s="237"/>
      <c r="CB299" s="674"/>
      <c r="CC299" s="238"/>
      <c r="CD299" s="220"/>
      <c r="CE299" s="674"/>
      <c r="CF299" s="238"/>
      <c r="CG299" s="220"/>
      <c r="CH299" s="674"/>
      <c r="CI299" s="238"/>
      <c r="CJ299" s="220"/>
      <c r="CK299" s="674"/>
      <c r="CL299" s="238"/>
      <c r="CM299" s="218"/>
      <c r="CN299" s="237"/>
    </row>
    <row r="300" spans="2:92" ht="72" thickBot="1" x14ac:dyDescent="0.25">
      <c r="B300" s="1228"/>
      <c r="C300" s="1241"/>
      <c r="D300" s="1210"/>
      <c r="E300" s="1212"/>
      <c r="F300" s="1203"/>
      <c r="G300" s="1213"/>
      <c r="H300" s="231" t="str">
        <f>+'Plan de Accion apoyo transversa'!AK157</f>
        <v># Mapas de riesgos publicados en página web en el periodo / # Mapas de riesgos actualizados en el periodo</v>
      </c>
      <c r="J300" s="230">
        <f>+'Plan de Accion apoyo transversa'!AT157</f>
        <v>0</v>
      </c>
      <c r="K300" s="760">
        <f>+'Plan de Accion apoyo transversa'!CE157</f>
        <v>0</v>
      </c>
      <c r="L300" s="760">
        <f>IF(K300&gt;100%,100%,K300)</f>
        <v>0</v>
      </c>
      <c r="M300" s="760">
        <f>+'Plan de Accion apoyo transversa'!AX157</f>
        <v>0</v>
      </c>
      <c r="N300" s="760">
        <f t="shared" si="265"/>
        <v>0</v>
      </c>
      <c r="O300" s="761">
        <f>+N300</f>
        <v>0</v>
      </c>
      <c r="P300" s="229"/>
      <c r="Q300" s="230" t="s">
        <v>204</v>
      </c>
      <c r="R300" s="266" t="s">
        <v>180</v>
      </c>
      <c r="S300" s="228" t="s">
        <v>204</v>
      </c>
      <c r="T300" s="324" t="s">
        <v>204</v>
      </c>
      <c r="U300" s="324" t="s">
        <v>204</v>
      </c>
      <c r="V300" s="227" t="str">
        <f t="shared" si="263"/>
        <v>N.A</v>
      </c>
      <c r="W300" s="229"/>
      <c r="X300" s="230" t="s">
        <v>204</v>
      </c>
      <c r="Y300" s="266" t="s">
        <v>180</v>
      </c>
      <c r="Z300" s="228" t="s">
        <v>204</v>
      </c>
      <c r="AA300" s="233" t="s">
        <v>204</v>
      </c>
      <c r="AB300" s="233" t="s">
        <v>204</v>
      </c>
      <c r="AC300" s="232" t="str">
        <f t="shared" si="261"/>
        <v>N.A</v>
      </c>
      <c r="AD300" s="229"/>
      <c r="AE300" s="230" t="s">
        <v>204</v>
      </c>
      <c r="AF300" s="266" t="s">
        <v>180</v>
      </c>
      <c r="AG300" s="228" t="s">
        <v>204</v>
      </c>
      <c r="AH300" s="266" t="s">
        <v>204</v>
      </c>
      <c r="AI300" s="227" t="s">
        <v>204</v>
      </c>
      <c r="AJ300" s="237"/>
      <c r="AL300" s="331"/>
      <c r="AM300" s="238"/>
      <c r="AN300" s="220"/>
      <c r="AO300" s="331"/>
      <c r="AP300" s="238"/>
      <c r="AQ300" s="220"/>
      <c r="AR300" s="331"/>
      <c r="AS300" s="238"/>
      <c r="AT300" s="220"/>
      <c r="AU300" s="331"/>
      <c r="AV300" s="238"/>
      <c r="AW300" s="218"/>
      <c r="AX300" s="237"/>
      <c r="AZ300" s="331"/>
      <c r="BA300" s="238"/>
      <c r="BB300" s="220"/>
      <c r="BC300" s="331"/>
      <c r="BD300" s="238"/>
      <c r="BE300" s="220"/>
      <c r="BF300" s="331"/>
      <c r="BG300" s="238"/>
      <c r="BH300" s="220"/>
      <c r="BI300" s="331"/>
      <c r="BJ300" s="238"/>
      <c r="BK300" s="218"/>
      <c r="BL300" s="237"/>
      <c r="BN300" s="331"/>
      <c r="BO300" s="238"/>
      <c r="BP300" s="220"/>
      <c r="BQ300" s="331"/>
      <c r="BR300" s="238"/>
      <c r="BS300" s="220"/>
      <c r="BT300" s="331"/>
      <c r="BU300" s="238"/>
      <c r="BV300" s="220"/>
      <c r="BW300" s="331"/>
      <c r="BX300" s="238"/>
      <c r="BY300" s="218"/>
      <c r="BZ300" s="237"/>
      <c r="CB300" s="331"/>
      <c r="CC300" s="238"/>
      <c r="CD300" s="220"/>
      <c r="CE300" s="331"/>
      <c r="CF300" s="238"/>
      <c r="CG300" s="220"/>
      <c r="CH300" s="331"/>
      <c r="CI300" s="238"/>
      <c r="CJ300" s="220"/>
      <c r="CK300" s="331"/>
      <c r="CL300" s="238"/>
      <c r="CM300" s="218"/>
      <c r="CN300" s="237"/>
    </row>
    <row r="301" spans="2:92" ht="43.5" thickBot="1" x14ac:dyDescent="0.25">
      <c r="B301" s="1228"/>
      <c r="C301" s="1241"/>
      <c r="D301" s="1203"/>
      <c r="E301" s="1213"/>
      <c r="F301" s="319" t="s">
        <v>330</v>
      </c>
      <c r="G301" s="335" t="str">
        <f>+'Plan de Accion apoyo transversa'!X179</f>
        <v>Matriz de avance en la implementación del MIPG</v>
      </c>
      <c r="H301" s="231" t="str">
        <f>+'Plan de Accion apoyo transversa'!AK179</f>
        <v># Matrices de avance en la implementación del MIPG elaboradas</v>
      </c>
      <c r="J301" s="234">
        <f>+'Plan de Accion apoyo transversa'!AT179</f>
        <v>0.25</v>
      </c>
      <c r="K301" s="503">
        <f>+'Plan de Accion apoyo transversa'!CE179</f>
        <v>1</v>
      </c>
      <c r="L301" s="503">
        <f>IF(K301&gt;100%,100%,K301)</f>
        <v>1</v>
      </c>
      <c r="M301" s="503">
        <f>+'Plan de Accion apoyo transversa'!AX179</f>
        <v>0.25</v>
      </c>
      <c r="N301" s="503">
        <f t="shared" si="226"/>
        <v>0.25</v>
      </c>
      <c r="O301" s="505">
        <f>+N301</f>
        <v>0.25</v>
      </c>
      <c r="P301" s="229"/>
      <c r="Q301" s="234">
        <f>+'Plan de Accion apoyo transversa'!BD179</f>
        <v>0</v>
      </c>
      <c r="R301" s="266" t="str">
        <f>+'Plan de Accion apoyo transversa'!CG179</f>
        <v>No Prog ni Ejec</v>
      </c>
      <c r="S301" s="228" t="s">
        <v>204</v>
      </c>
      <c r="T301" s="324">
        <f>+'Plan de Accion apoyo transversa'!BH179</f>
        <v>0.25</v>
      </c>
      <c r="U301" s="324">
        <f t="shared" si="250"/>
        <v>0.25</v>
      </c>
      <c r="V301" s="227">
        <f t="shared" si="263"/>
        <v>0.25</v>
      </c>
      <c r="W301" s="229"/>
      <c r="X301" s="234">
        <f>+'Plan de Accion apoyo transversa'!BN179</f>
        <v>0</v>
      </c>
      <c r="Y301" s="266">
        <f>+'Plan de Accion apoyo transversa'!CI179</f>
        <v>0</v>
      </c>
      <c r="Z301" s="228">
        <f t="shared" si="264"/>
        <v>0</v>
      </c>
      <c r="AA301" s="233">
        <f>+'Plan de Accion apoyo transversa'!BR179</f>
        <v>0.25</v>
      </c>
      <c r="AB301" s="233">
        <f>IF(AA301&gt;100%,100%,AA301)</f>
        <v>0.25</v>
      </c>
      <c r="AC301" s="232">
        <f>+AB301</f>
        <v>0.25</v>
      </c>
      <c r="AD301" s="229"/>
      <c r="AE301" s="234">
        <f>+'Plan de Accion apoyo transversa'!BX179</f>
        <v>0</v>
      </c>
      <c r="AF301" s="266" t="str">
        <f>+'Plan de Accion apoyo transversa'!CK179</f>
        <v>No Prog ni Ejec</v>
      </c>
      <c r="AG301" s="228" t="s">
        <v>204</v>
      </c>
      <c r="AH301" s="266">
        <f>+'Plan de Accion apoyo transversa'!CB179</f>
        <v>0.25</v>
      </c>
      <c r="AI301" s="227">
        <f t="shared" si="252"/>
        <v>0.25</v>
      </c>
      <c r="AJ301" s="237"/>
      <c r="AL301" s="331"/>
      <c r="AM301" s="238"/>
      <c r="AN301" s="220"/>
      <c r="AO301" s="331"/>
      <c r="AP301" s="238"/>
      <c r="AQ301" s="220"/>
      <c r="AR301" s="331"/>
      <c r="AS301" s="238"/>
      <c r="AT301" s="220"/>
      <c r="AU301" s="331"/>
      <c r="AV301" s="238"/>
      <c r="AW301" s="218"/>
      <c r="AX301" s="237"/>
      <c r="AZ301" s="331"/>
      <c r="BA301" s="238"/>
      <c r="BB301" s="220"/>
      <c r="BC301" s="331"/>
      <c r="BD301" s="238"/>
      <c r="BE301" s="220"/>
      <c r="BF301" s="331"/>
      <c r="BG301" s="238"/>
      <c r="BH301" s="220"/>
      <c r="BI301" s="331"/>
      <c r="BJ301" s="238"/>
      <c r="BK301" s="218"/>
      <c r="BL301" s="237"/>
      <c r="BN301" s="331"/>
      <c r="BO301" s="238"/>
      <c r="BP301" s="220"/>
      <c r="BQ301" s="331"/>
      <c r="BR301" s="238"/>
      <c r="BS301" s="220"/>
      <c r="BT301" s="331"/>
      <c r="BU301" s="238"/>
      <c r="BV301" s="220"/>
      <c r="BW301" s="331"/>
      <c r="BX301" s="238"/>
      <c r="BY301" s="218"/>
      <c r="BZ301" s="237"/>
      <c r="CB301" s="331"/>
      <c r="CC301" s="238"/>
      <c r="CD301" s="220"/>
      <c r="CE301" s="331"/>
      <c r="CF301" s="238"/>
      <c r="CG301" s="220"/>
      <c r="CH301" s="331"/>
      <c r="CI301" s="238"/>
      <c r="CJ301" s="220"/>
      <c r="CK301" s="331"/>
      <c r="CL301" s="238"/>
      <c r="CM301" s="218"/>
      <c r="CN301" s="237"/>
    </row>
    <row r="302" spans="2:92" ht="100.5" thickBot="1" x14ac:dyDescent="0.25">
      <c r="B302" s="1228"/>
      <c r="C302" s="1241"/>
      <c r="D302" s="320" t="s">
        <v>204</v>
      </c>
      <c r="E302" s="335" t="s">
        <v>1199</v>
      </c>
      <c r="F302" s="1202" t="s">
        <v>336</v>
      </c>
      <c r="G302" s="335" t="str">
        <f>+'Plan de Accion apoyo transversa'!X177</f>
        <v>Reuniones de autocontrol y seguimiento a  los procesos que evidencien monitoreo a los riesgos, indicadores, planes de mejoramiento, manuales y documentos asociados</v>
      </c>
      <c r="H302" s="231" t="str">
        <f>+'Plan de Accion apoyo transversa'!AK177</f>
        <v># reuniones realizadas</v>
      </c>
      <c r="J302" s="234">
        <f>+'Plan de Accion apoyo transversa'!AT177</f>
        <v>0</v>
      </c>
      <c r="K302" s="503" t="str">
        <f>+'Plan de Accion apoyo transversa'!CE177</f>
        <v>No Prog ni Ejec</v>
      </c>
      <c r="L302" s="503" t="s">
        <v>204</v>
      </c>
      <c r="M302" s="503">
        <f>+'Plan de Accion apoyo transversa'!AX177</f>
        <v>0</v>
      </c>
      <c r="N302" s="503">
        <f t="shared" si="226"/>
        <v>0</v>
      </c>
      <c r="O302" s="505" t="s">
        <v>204</v>
      </c>
      <c r="P302" s="229"/>
      <c r="Q302" s="234">
        <f>+'Plan de Accion apoyo transversa'!BD177</f>
        <v>1</v>
      </c>
      <c r="R302" s="266">
        <f>+'Plan de Accion apoyo transversa'!CG177</f>
        <v>1</v>
      </c>
      <c r="S302" s="228">
        <f t="shared" si="262"/>
        <v>1</v>
      </c>
      <c r="T302" s="324">
        <f>+'Plan de Accion apoyo transversa'!BH177</f>
        <v>0.33333333333333331</v>
      </c>
      <c r="U302" s="324">
        <f t="shared" si="250"/>
        <v>0.33333333333333331</v>
      </c>
      <c r="V302" s="227">
        <f t="shared" si="263"/>
        <v>0.33333333333333331</v>
      </c>
      <c r="W302" s="229"/>
      <c r="X302" s="234">
        <f>+'Plan de Accion apoyo transversa'!BN177</f>
        <v>0</v>
      </c>
      <c r="Y302" s="266">
        <f>+'Plan de Accion apoyo transversa'!CI177</f>
        <v>0</v>
      </c>
      <c r="Z302" s="228">
        <f t="shared" si="264"/>
        <v>0</v>
      </c>
      <c r="AA302" s="233">
        <f>+'Plan de Accion apoyo transversa'!BR177</f>
        <v>0.33333333333333331</v>
      </c>
      <c r="AB302" s="233">
        <f t="shared" si="260"/>
        <v>0.33333333333333331</v>
      </c>
      <c r="AC302" s="232">
        <f>+AB302</f>
        <v>0.33333333333333331</v>
      </c>
      <c r="AD302" s="229"/>
      <c r="AE302" s="234">
        <f>+'Plan de Accion apoyo transversa'!BX177</f>
        <v>0</v>
      </c>
      <c r="AF302" s="266">
        <f>+'Plan de Accion apoyo transversa'!CK177</f>
        <v>0</v>
      </c>
      <c r="AG302" s="228">
        <f t="shared" ref="AG302:AG304" si="270">IF(AF302&gt;100%,100%,AF302)</f>
        <v>0</v>
      </c>
      <c r="AH302" s="266">
        <f>+'Plan de Accion apoyo transversa'!CB177</f>
        <v>0.33333333333333331</v>
      </c>
      <c r="AI302" s="227">
        <f t="shared" si="252"/>
        <v>0.33333333333333331</v>
      </c>
      <c r="AJ302" s="237"/>
      <c r="AL302" s="331"/>
      <c r="AM302" s="238"/>
      <c r="AN302" s="220"/>
      <c r="AO302" s="331"/>
      <c r="AP302" s="238"/>
      <c r="AQ302" s="220"/>
      <c r="AR302" s="331"/>
      <c r="AS302" s="238"/>
      <c r="AT302" s="220"/>
      <c r="AU302" s="331"/>
      <c r="AV302" s="238"/>
      <c r="AW302" s="218"/>
      <c r="AX302" s="237"/>
      <c r="AZ302" s="331"/>
      <c r="BA302" s="238"/>
      <c r="BB302" s="220"/>
      <c r="BC302" s="331"/>
      <c r="BD302" s="238"/>
      <c r="BE302" s="220"/>
      <c r="BF302" s="331"/>
      <c r="BG302" s="238"/>
      <c r="BH302" s="220"/>
      <c r="BI302" s="331"/>
      <c r="BJ302" s="238"/>
      <c r="BK302" s="218"/>
      <c r="BL302" s="237"/>
      <c r="BN302" s="331"/>
      <c r="BO302" s="238"/>
      <c r="BP302" s="220"/>
      <c r="BQ302" s="331"/>
      <c r="BR302" s="238"/>
      <c r="BS302" s="220"/>
      <c r="BT302" s="331"/>
      <c r="BU302" s="238"/>
      <c r="BV302" s="220"/>
      <c r="BW302" s="331"/>
      <c r="BX302" s="238"/>
      <c r="BY302" s="218"/>
      <c r="BZ302" s="237"/>
      <c r="CB302" s="331"/>
      <c r="CC302" s="238"/>
      <c r="CD302" s="220"/>
      <c r="CE302" s="331"/>
      <c r="CF302" s="238"/>
      <c r="CG302" s="220"/>
      <c r="CH302" s="331"/>
      <c r="CI302" s="238"/>
      <c r="CJ302" s="220"/>
      <c r="CK302" s="331"/>
      <c r="CL302" s="238"/>
      <c r="CM302" s="218"/>
      <c r="CN302" s="237"/>
    </row>
    <row r="303" spans="2:92" ht="100.5" thickBot="1" x14ac:dyDescent="0.25">
      <c r="B303" s="1228"/>
      <c r="C303" s="1242"/>
      <c r="D303" s="320" t="s">
        <v>204</v>
      </c>
      <c r="E303" s="335" t="s">
        <v>13</v>
      </c>
      <c r="F303" s="1203"/>
      <c r="G303" s="335" t="str">
        <f>+'Plan de Accion apoyo transversa'!X178</f>
        <v>Reuniones de autocontrol y seguimiento a  los procesos que evidencien monitoreo a los riesgos, indicadores, planes de mejoramiento, manuales y documentos asociados</v>
      </c>
      <c r="H303" s="231" t="str">
        <f>+'Plan de Accion apoyo transversa'!AK178</f>
        <v># reuniones realizadas</v>
      </c>
      <c r="J303" s="234">
        <f>+'Plan de Accion apoyo transversa'!AT178</f>
        <v>0</v>
      </c>
      <c r="K303" s="503" t="str">
        <f>+'Plan de Accion apoyo transversa'!CE178</f>
        <v>No Prog ni Ejec</v>
      </c>
      <c r="L303" s="503" t="s">
        <v>204</v>
      </c>
      <c r="M303" s="503">
        <f>+'Plan de Accion apoyo transversa'!AX178</f>
        <v>0</v>
      </c>
      <c r="N303" s="503">
        <f t="shared" ref="N303:N359" si="271">IF(M303&gt;100%,100%,M303)</f>
        <v>0</v>
      </c>
      <c r="O303" s="505" t="s">
        <v>204</v>
      </c>
      <c r="P303" s="229"/>
      <c r="Q303" s="463">
        <f>+'Plan de Accion apoyo transversa'!BD178</f>
        <v>1</v>
      </c>
      <c r="R303" s="343">
        <f>+'Plan de Accion apoyo transversa'!CG178</f>
        <v>1</v>
      </c>
      <c r="S303" s="464">
        <f t="shared" si="262"/>
        <v>1</v>
      </c>
      <c r="T303" s="344">
        <f>+'Plan de Accion apoyo transversa'!BH178</f>
        <v>0.33333333333333331</v>
      </c>
      <c r="U303" s="344">
        <f t="shared" si="250"/>
        <v>0.33333333333333331</v>
      </c>
      <c r="V303" s="466">
        <f t="shared" si="263"/>
        <v>0.33333333333333331</v>
      </c>
      <c r="W303" s="229"/>
      <c r="X303" s="463">
        <f>+'Plan de Accion apoyo transversa'!BN178</f>
        <v>0</v>
      </c>
      <c r="Y303" s="343">
        <f>+'Plan de Accion apoyo transversa'!CI178</f>
        <v>0</v>
      </c>
      <c r="Z303" s="464">
        <f t="shared" si="264"/>
        <v>0</v>
      </c>
      <c r="AA303" s="465">
        <f>+'Plan de Accion apoyo transversa'!BR178</f>
        <v>0.33333333333333331</v>
      </c>
      <c r="AB303" s="465">
        <f t="shared" si="260"/>
        <v>0.33333333333333331</v>
      </c>
      <c r="AC303" s="351">
        <f>+AB303</f>
        <v>0.33333333333333331</v>
      </c>
      <c r="AD303" s="229"/>
      <c r="AE303" s="234">
        <f>+'Plan de Accion apoyo transversa'!BX178</f>
        <v>0</v>
      </c>
      <c r="AF303" s="266">
        <f>+'Plan de Accion apoyo transversa'!CK178</f>
        <v>0</v>
      </c>
      <c r="AG303" s="228">
        <f t="shared" si="270"/>
        <v>0</v>
      </c>
      <c r="AH303" s="266">
        <f>+'Plan de Accion apoyo transversa'!CB178</f>
        <v>0.33333333333333331</v>
      </c>
      <c r="AI303" s="227">
        <f t="shared" si="252"/>
        <v>0.33333333333333331</v>
      </c>
      <c r="AJ303" s="237"/>
      <c r="AL303" s="331"/>
      <c r="AM303" s="238"/>
      <c r="AN303" s="220"/>
      <c r="AO303" s="331"/>
      <c r="AP303" s="238"/>
      <c r="AQ303" s="220"/>
      <c r="AR303" s="331"/>
      <c r="AS303" s="238"/>
      <c r="AT303" s="220"/>
      <c r="AU303" s="331"/>
      <c r="AV303" s="238"/>
      <c r="AW303" s="218"/>
      <c r="AX303" s="237"/>
      <c r="AZ303" s="331"/>
      <c r="BA303" s="238"/>
      <c r="BB303" s="220"/>
      <c r="BC303" s="331"/>
      <c r="BD303" s="238"/>
      <c r="BE303" s="220"/>
      <c r="BF303" s="331"/>
      <c r="BG303" s="238"/>
      <c r="BH303" s="220"/>
      <c r="BI303" s="331"/>
      <c r="BJ303" s="238"/>
      <c r="BK303" s="218"/>
      <c r="BL303" s="237"/>
      <c r="BN303" s="331"/>
      <c r="BO303" s="238"/>
      <c r="BP303" s="220"/>
      <c r="BQ303" s="331"/>
      <c r="BR303" s="238"/>
      <c r="BS303" s="220"/>
      <c r="BT303" s="331"/>
      <c r="BU303" s="238"/>
      <c r="BV303" s="220"/>
      <c r="BW303" s="331"/>
      <c r="BX303" s="238"/>
      <c r="BY303" s="218"/>
      <c r="BZ303" s="237"/>
      <c r="CB303" s="331"/>
      <c r="CC303" s="238"/>
      <c r="CD303" s="220"/>
      <c r="CE303" s="331"/>
      <c r="CF303" s="238"/>
      <c r="CG303" s="220"/>
      <c r="CH303" s="331"/>
      <c r="CI303" s="238"/>
      <c r="CJ303" s="220"/>
      <c r="CK303" s="331"/>
      <c r="CL303" s="238"/>
      <c r="CM303" s="218"/>
      <c r="CN303" s="237"/>
    </row>
    <row r="304" spans="2:92" ht="20.25" thickBot="1" x14ac:dyDescent="0.3">
      <c r="B304" s="1222" t="s">
        <v>217</v>
      </c>
      <c r="C304" s="1223"/>
      <c r="D304" s="1224"/>
      <c r="E304" s="1224"/>
      <c r="F304" s="1225"/>
      <c r="G304" s="1225"/>
      <c r="H304" s="1226"/>
      <c r="J304" s="213" t="s">
        <v>204</v>
      </c>
      <c r="K304" s="212">
        <f>AVERAGE(K204:K206,K208:K303)</f>
        <v>0.74762285323360256</v>
      </c>
      <c r="L304" s="212">
        <f>IF(K304&gt;100%,100%,K304)</f>
        <v>0.74762285323360256</v>
      </c>
      <c r="M304" s="212">
        <f>AVERAGE(M204:M303)</f>
        <v>0.16000206211032059</v>
      </c>
      <c r="N304" s="212">
        <f>IF(M304&gt;25%,25%,M304)</f>
        <v>0.16000206211032059</v>
      </c>
      <c r="O304" s="215">
        <f>AVERAGE(O204:O303)</f>
        <v>0.31319552583296795</v>
      </c>
      <c r="P304" s="214"/>
      <c r="Q304" s="213" t="s">
        <v>204</v>
      </c>
      <c r="R304" s="212">
        <f>AVERAGE(R204:R218,R220:R303)</f>
        <v>0.96425965141583114</v>
      </c>
      <c r="S304" s="212">
        <f>IF(R304&gt;100%,100%,R304)</f>
        <v>0.96425965141583114</v>
      </c>
      <c r="T304" s="212">
        <f>AVERAGE(T204:T303)</f>
        <v>0.32259049116603533</v>
      </c>
      <c r="U304" s="212">
        <f>IF(T304&gt;50%,50%,T304)</f>
        <v>0.32259049116603533</v>
      </c>
      <c r="V304" s="215">
        <f>AVERAGE(V204:V303)</f>
        <v>0.45484718621341386</v>
      </c>
      <c r="W304" s="214"/>
      <c r="X304" s="213" t="s">
        <v>204</v>
      </c>
      <c r="Y304" s="212">
        <f>AVERAGE(Y204:Y303)</f>
        <v>0</v>
      </c>
      <c r="Z304" s="212">
        <f t="shared" si="264"/>
        <v>0</v>
      </c>
      <c r="AA304" s="212" t="e">
        <f>AVERAGE(AA204:AA303)</f>
        <v>#VALUE!</v>
      </c>
      <c r="AB304" s="212" t="e">
        <f>IF(AA304&gt;75%,75%,AA304)</f>
        <v>#VALUE!</v>
      </c>
      <c r="AC304" s="215" t="e">
        <f>AVERAGE(AC204:AC303)</f>
        <v>#VALUE!</v>
      </c>
      <c r="AD304" s="214"/>
      <c r="AE304" s="213" t="s">
        <v>204</v>
      </c>
      <c r="AF304" s="212">
        <f>AVERAGE(AF204:AF303)</f>
        <v>0</v>
      </c>
      <c r="AG304" s="212">
        <f t="shared" si="270"/>
        <v>0</v>
      </c>
      <c r="AH304" s="212" t="e">
        <f>AVERAGE(AH204:AH303)</f>
        <v>#VALUE!</v>
      </c>
      <c r="AI304" s="215" t="e">
        <f>AVERAGE(AI204:AI303)</f>
        <v>#VALUE!</v>
      </c>
      <c r="AL304" s="209"/>
      <c r="AM304" s="211"/>
      <c r="AN304" s="210"/>
      <c r="AO304" s="209"/>
      <c r="AP304" s="208"/>
      <c r="AQ304" s="210"/>
      <c r="AR304" s="209"/>
      <c r="AS304" s="208"/>
      <c r="AT304" s="210"/>
      <c r="AU304" s="209"/>
      <c r="AV304" s="208"/>
      <c r="AZ304" s="209"/>
      <c r="BA304" s="211"/>
      <c r="BB304" s="210"/>
      <c r="BC304" s="209"/>
      <c r="BD304" s="208"/>
      <c r="BE304" s="210"/>
      <c r="BF304" s="209"/>
      <c r="BG304" s="208"/>
      <c r="BH304" s="210"/>
      <c r="BI304" s="209"/>
      <c r="BJ304" s="208"/>
      <c r="BN304" s="209"/>
      <c r="BO304" s="211"/>
      <c r="BP304" s="210"/>
      <c r="BQ304" s="209"/>
      <c r="BR304" s="208"/>
      <c r="BS304" s="210"/>
      <c r="BT304" s="209"/>
      <c r="BU304" s="208"/>
      <c r="BV304" s="210"/>
      <c r="BW304" s="209"/>
      <c r="BX304" s="208"/>
      <c r="CB304" s="209"/>
      <c r="CC304" s="211"/>
      <c r="CD304" s="210"/>
      <c r="CE304" s="209"/>
      <c r="CF304" s="208"/>
      <c r="CG304" s="210"/>
      <c r="CH304" s="209"/>
      <c r="CI304" s="208"/>
      <c r="CJ304" s="210"/>
      <c r="CK304" s="209"/>
      <c r="CL304" s="208"/>
    </row>
    <row r="305" spans="2:92" ht="106.5" customHeight="1" x14ac:dyDescent="0.2">
      <c r="B305" s="1227" t="s">
        <v>1165</v>
      </c>
      <c r="C305" s="1230" t="s">
        <v>94</v>
      </c>
      <c r="D305" s="1217" t="s">
        <v>204</v>
      </c>
      <c r="E305" s="1243" t="s">
        <v>14</v>
      </c>
      <c r="F305" s="1217" t="s">
        <v>1191</v>
      </c>
      <c r="G305" s="328" t="str">
        <f>+'Plan de Accion apoyo transversa'!X56</f>
        <v>Jornada de socialización y divulgación de las Políticas de SST y Prevención de alcohol y drogas a todos los servidores públicos y partes interesadas realizada</v>
      </c>
      <c r="H305" s="240" t="str">
        <f>+'Plan de Accion apoyo transversa'!AK56</f>
        <v># de actividades realizadas</v>
      </c>
      <c r="J305" s="234">
        <f>+'Plan de Accion apoyo transversa'!AT56</f>
        <v>1</v>
      </c>
      <c r="K305" s="503">
        <f>+'Plan de Accion apoyo transversa'!CE56</f>
        <v>1</v>
      </c>
      <c r="L305" s="503">
        <f>IF(K305&gt;100%,100%,K305)</f>
        <v>1</v>
      </c>
      <c r="M305" s="503">
        <f>+'Plan de Accion apoyo transversa'!AX56</f>
        <v>1</v>
      </c>
      <c r="N305" s="503">
        <f t="shared" si="271"/>
        <v>1</v>
      </c>
      <c r="O305" s="505">
        <f>+N305</f>
        <v>1</v>
      </c>
      <c r="P305" s="229"/>
      <c r="Q305" s="234">
        <f>+'Plan de Accion apoyo transversa'!BD56</f>
        <v>0</v>
      </c>
      <c r="R305" s="324" t="str">
        <f>+'Plan de Accion apoyo transversa'!CG56</f>
        <v>No Prog ni Ejec</v>
      </c>
      <c r="S305" s="228" t="s">
        <v>204</v>
      </c>
      <c r="T305" s="324">
        <f>+'Plan de Accion apoyo transversa'!BH56</f>
        <v>1</v>
      </c>
      <c r="U305" s="324">
        <f>IF(T305&gt;100%,100%,T305)</f>
        <v>1</v>
      </c>
      <c r="V305" s="227">
        <f>+U305</f>
        <v>1</v>
      </c>
      <c r="W305" s="229"/>
      <c r="X305" s="234">
        <f>+'Plan de Accion apoyo transversa'!BN56</f>
        <v>0</v>
      </c>
      <c r="Y305" s="324" t="str">
        <f>+'Plan de Accion apoyo transversa'!CI56</f>
        <v>No Prog ni Ejec</v>
      </c>
      <c r="Z305" s="228" t="s">
        <v>204</v>
      </c>
      <c r="AA305" s="309">
        <f>+'Plan de Accion apoyo transversa'!BR56</f>
        <v>1</v>
      </c>
      <c r="AB305" s="309">
        <f>IF(AA305&gt;100%,100%,AA305)</f>
        <v>1</v>
      </c>
      <c r="AC305" s="352">
        <f>+AB305</f>
        <v>1</v>
      </c>
      <c r="AD305" s="229"/>
      <c r="AE305" s="234">
        <f>+'Plan de Accion apoyo transversa'!BX56</f>
        <v>0</v>
      </c>
      <c r="AF305" s="324" t="str">
        <f>+'Plan de Accion apoyo transversa'!CK56</f>
        <v>No Prog ni Ejec</v>
      </c>
      <c r="AG305" s="228" t="s">
        <v>204</v>
      </c>
      <c r="AH305" s="324">
        <f>+'Plan de Accion apoyo transversa'!CB56</f>
        <v>1</v>
      </c>
      <c r="AI305" s="227">
        <f>IF(AH305&gt;100%,100%,AH305)</f>
        <v>1</v>
      </c>
      <c r="AJ305" s="1273"/>
      <c r="AL305" s="1271"/>
      <c r="AM305" s="1267"/>
      <c r="AN305" s="220"/>
      <c r="AO305" s="1268"/>
      <c r="AP305" s="1267"/>
      <c r="AQ305" s="220"/>
      <c r="AR305" s="1267"/>
      <c r="AS305" s="1267"/>
      <c r="AT305" s="220"/>
      <c r="AU305" s="1267"/>
      <c r="AV305" s="1267"/>
      <c r="AW305" s="218"/>
      <c r="AX305" s="1274"/>
      <c r="AZ305" s="1271"/>
      <c r="BA305" s="1267"/>
      <c r="BB305" s="220"/>
      <c r="BC305" s="1268"/>
      <c r="BD305" s="1267"/>
      <c r="BE305" s="220"/>
      <c r="BF305" s="1267"/>
      <c r="BG305" s="1267"/>
      <c r="BH305" s="220"/>
      <c r="BI305" s="1267"/>
      <c r="BJ305" s="1267"/>
      <c r="BK305" s="218"/>
      <c r="BL305" s="1274"/>
      <c r="BN305" s="1271"/>
      <c r="BO305" s="1267"/>
      <c r="BP305" s="220"/>
      <c r="BQ305" s="1268"/>
      <c r="BR305" s="1267"/>
      <c r="BS305" s="220"/>
      <c r="BT305" s="1267"/>
      <c r="BU305" s="1267"/>
      <c r="BV305" s="220"/>
      <c r="BW305" s="1267"/>
      <c r="BX305" s="1267"/>
      <c r="BY305" s="218"/>
      <c r="BZ305" s="1274"/>
      <c r="CB305" s="1271"/>
      <c r="CC305" s="1267"/>
      <c r="CD305" s="220"/>
      <c r="CE305" s="1268"/>
      <c r="CF305" s="1267"/>
      <c r="CG305" s="220"/>
      <c r="CH305" s="1267"/>
      <c r="CI305" s="1267"/>
      <c r="CJ305" s="220"/>
      <c r="CK305" s="1267"/>
      <c r="CL305" s="1267"/>
      <c r="CM305" s="218"/>
      <c r="CN305" s="1274"/>
    </row>
    <row r="306" spans="2:92" ht="95.25" customHeight="1" x14ac:dyDescent="0.2">
      <c r="B306" s="1227"/>
      <c r="C306" s="1231"/>
      <c r="D306" s="1215"/>
      <c r="E306" s="1234"/>
      <c r="F306" s="1215"/>
      <c r="G306" s="328" t="str">
        <f>+'Plan de Accion apoyo transversa'!X63</f>
        <v>Jornada de socialización y divulgación de los roles y responsabilidades a todos los servidores públicos y partes interesadas realizada</v>
      </c>
      <c r="H306" s="240" t="str">
        <f>+'Plan de Accion apoyo transversa'!AK63</f>
        <v># de actividades realizadas</v>
      </c>
      <c r="J306" s="234">
        <f>+'Plan de Accion apoyo transversa'!AT63</f>
        <v>1</v>
      </c>
      <c r="K306" s="503">
        <f>+'Plan de Accion apoyo transversa'!CE63</f>
        <v>1</v>
      </c>
      <c r="L306" s="503">
        <f>IF(K306&gt;100%,100%,K306)</f>
        <v>1</v>
      </c>
      <c r="M306" s="503">
        <f>+'Plan de Accion apoyo transversa'!AX63</f>
        <v>1</v>
      </c>
      <c r="N306" s="503">
        <f t="shared" si="271"/>
        <v>1</v>
      </c>
      <c r="O306" s="505">
        <f>+N306</f>
        <v>1</v>
      </c>
      <c r="P306" s="229"/>
      <c r="Q306" s="234">
        <f>+'Plan de Accion apoyo transversa'!BD63</f>
        <v>0</v>
      </c>
      <c r="R306" s="324" t="str">
        <f>+'Plan de Accion apoyo transversa'!CG63</f>
        <v>No Prog ni Ejec</v>
      </c>
      <c r="S306" s="464" t="s">
        <v>204</v>
      </c>
      <c r="T306" s="324">
        <f>+'Plan de Accion apoyo transversa'!BH63</f>
        <v>1</v>
      </c>
      <c r="U306" s="324">
        <f>IF(T306&gt;100%,100%,T306)</f>
        <v>1</v>
      </c>
      <c r="V306" s="227">
        <f>+U306</f>
        <v>1</v>
      </c>
      <c r="W306" s="229"/>
      <c r="X306" s="234">
        <f>+'Plan de Accion apoyo transversa'!BN63</f>
        <v>0</v>
      </c>
      <c r="Y306" s="324" t="str">
        <f>+'Plan de Accion apoyo transversa'!CI63</f>
        <v>No Prog ni Ejec</v>
      </c>
      <c r="Z306" s="228" t="s">
        <v>204</v>
      </c>
      <c r="AA306" s="233">
        <f>+'Plan de Accion apoyo transversa'!BR63</f>
        <v>1</v>
      </c>
      <c r="AB306" s="233">
        <f>IF(AA306&gt;100%,100%,AA306)</f>
        <v>1</v>
      </c>
      <c r="AC306" s="232">
        <f>+AB306</f>
        <v>1</v>
      </c>
      <c r="AD306" s="229"/>
      <c r="AE306" s="234">
        <f>+'Plan de Accion apoyo transversa'!BX63</f>
        <v>0</v>
      </c>
      <c r="AF306" s="324" t="str">
        <f>+'Plan de Accion apoyo transversa'!CK63</f>
        <v>No Prog ni Ejec</v>
      </c>
      <c r="AG306" s="228" t="s">
        <v>204</v>
      </c>
      <c r="AH306" s="324">
        <f>+'Plan de Accion apoyo transversa'!CB63</f>
        <v>1</v>
      </c>
      <c r="AI306" s="227">
        <f>IF(AH306&gt;100%,100%,AH306)</f>
        <v>1</v>
      </c>
      <c r="AJ306" s="1256"/>
      <c r="AL306" s="1272"/>
      <c r="AM306" s="1258"/>
      <c r="AN306" s="220"/>
      <c r="AO306" s="1269"/>
      <c r="AP306" s="1258"/>
      <c r="AQ306" s="220"/>
      <c r="AR306" s="1258"/>
      <c r="AS306" s="1258"/>
      <c r="AT306" s="220"/>
      <c r="AU306" s="1258"/>
      <c r="AV306" s="1258"/>
      <c r="AW306" s="218"/>
      <c r="AX306" s="1275"/>
      <c r="AZ306" s="1272"/>
      <c r="BA306" s="1258"/>
      <c r="BB306" s="220"/>
      <c r="BC306" s="1269"/>
      <c r="BD306" s="1258"/>
      <c r="BE306" s="220"/>
      <c r="BF306" s="1258"/>
      <c r="BG306" s="1258"/>
      <c r="BH306" s="220"/>
      <c r="BI306" s="1258"/>
      <c r="BJ306" s="1258"/>
      <c r="BK306" s="218"/>
      <c r="BL306" s="1275"/>
      <c r="BN306" s="1272"/>
      <c r="BO306" s="1258"/>
      <c r="BP306" s="220"/>
      <c r="BQ306" s="1269"/>
      <c r="BR306" s="1258"/>
      <c r="BS306" s="220"/>
      <c r="BT306" s="1258"/>
      <c r="BU306" s="1258"/>
      <c r="BV306" s="220"/>
      <c r="BW306" s="1258"/>
      <c r="BX306" s="1258"/>
      <c r="BY306" s="218"/>
      <c r="BZ306" s="1275"/>
      <c r="CB306" s="1272"/>
      <c r="CC306" s="1258"/>
      <c r="CD306" s="220"/>
      <c r="CE306" s="1269"/>
      <c r="CF306" s="1258"/>
      <c r="CG306" s="220"/>
      <c r="CH306" s="1258"/>
      <c r="CI306" s="1258"/>
      <c r="CJ306" s="220"/>
      <c r="CK306" s="1258"/>
      <c r="CL306" s="1258"/>
      <c r="CM306" s="218"/>
      <c r="CN306" s="1275"/>
    </row>
    <row r="307" spans="2:92" ht="42.75" x14ac:dyDescent="0.2">
      <c r="B307" s="1227"/>
      <c r="C307" s="1231"/>
      <c r="D307" s="1215"/>
      <c r="E307" s="1234"/>
      <c r="F307" s="1215"/>
      <c r="G307" s="328" t="str">
        <f>+'Plan de Accion apoyo transversa'!X65</f>
        <v>Jornada de divulgación del Plan de Emergencias realizada</v>
      </c>
      <c r="H307" s="240" t="str">
        <f>+'Plan de Accion apoyo transversa'!AK65</f>
        <v># de actividades realizadas</v>
      </c>
      <c r="J307" s="234">
        <f>+'Plan de Accion apoyo transversa'!AT65</f>
        <v>0</v>
      </c>
      <c r="K307" s="503">
        <f>+'Plan de Accion apoyo transversa'!CE65</f>
        <v>0</v>
      </c>
      <c r="L307" s="542">
        <f>IF(K307&gt;100%,100%,K307)</f>
        <v>0</v>
      </c>
      <c r="M307" s="503">
        <f>+'Plan de Accion apoyo transversa'!AX65</f>
        <v>0</v>
      </c>
      <c r="N307" s="503">
        <f t="shared" si="271"/>
        <v>0</v>
      </c>
      <c r="O307" s="543">
        <f>+N307</f>
        <v>0</v>
      </c>
      <c r="P307" s="229"/>
      <c r="Q307" s="234">
        <f>+'Plan de Accion apoyo transversa'!BD65</f>
        <v>0</v>
      </c>
      <c r="R307" s="324" t="s">
        <v>180</v>
      </c>
      <c r="S307" s="266" t="s">
        <v>204</v>
      </c>
      <c r="T307" s="732">
        <f>+'Plan de Accion apoyo transversa'!BH65</f>
        <v>0</v>
      </c>
      <c r="U307" s="732">
        <f>IF(T307&gt;100%,100%,T307)</f>
        <v>0</v>
      </c>
      <c r="V307" s="227">
        <f>+U307</f>
        <v>0</v>
      </c>
      <c r="W307" s="229"/>
      <c r="X307" s="234">
        <f>+'Plan de Accion apoyo transversa'!BN65</f>
        <v>0</v>
      </c>
      <c r="Y307" s="324" t="str">
        <f>+'Plan de Accion apoyo transversa'!CI65</f>
        <v>No Prog ni Ejec</v>
      </c>
      <c r="Z307" s="228" t="s">
        <v>204</v>
      </c>
      <c r="AA307" s="233">
        <f>+'Plan de Accion apoyo transversa'!BR65</f>
        <v>0</v>
      </c>
      <c r="AB307" s="233">
        <f t="shared" ref="AB307" si="272">IF(AA307&gt;100%,100%,AA307)</f>
        <v>0</v>
      </c>
      <c r="AC307" s="232">
        <f t="shared" ref="AC307" si="273">+AB307</f>
        <v>0</v>
      </c>
      <c r="AD307" s="229"/>
      <c r="AE307" s="234">
        <f>+'Plan de Accion apoyo transversa'!BX65</f>
        <v>0</v>
      </c>
      <c r="AF307" s="324" t="s">
        <v>180</v>
      </c>
      <c r="AG307" s="228" t="s">
        <v>204</v>
      </c>
      <c r="AH307" s="732">
        <f>+'Plan de Accion apoyo transversa'!CB65</f>
        <v>0</v>
      </c>
      <c r="AI307" s="227">
        <f>IF(AH307&gt;100%,100%,AH307)</f>
        <v>0</v>
      </c>
      <c r="AJ307" s="1256"/>
      <c r="AL307" s="1272"/>
      <c r="AM307" s="1258"/>
      <c r="AN307" s="220"/>
      <c r="AO307" s="1269"/>
      <c r="AP307" s="1258"/>
      <c r="AQ307" s="220"/>
      <c r="AR307" s="1258"/>
      <c r="AS307" s="1258"/>
      <c r="AT307" s="220"/>
      <c r="AU307" s="1258"/>
      <c r="AV307" s="1258"/>
      <c r="AW307" s="218"/>
      <c r="AX307" s="1275"/>
      <c r="AZ307" s="1272"/>
      <c r="BA307" s="1258"/>
      <c r="BB307" s="220"/>
      <c r="BC307" s="1269"/>
      <c r="BD307" s="1258"/>
      <c r="BE307" s="220"/>
      <c r="BF307" s="1258"/>
      <c r="BG307" s="1258"/>
      <c r="BH307" s="220"/>
      <c r="BI307" s="1258"/>
      <c r="BJ307" s="1258"/>
      <c r="BK307" s="218"/>
      <c r="BL307" s="1275"/>
      <c r="BN307" s="1272"/>
      <c r="BO307" s="1258"/>
      <c r="BP307" s="220"/>
      <c r="BQ307" s="1269"/>
      <c r="BR307" s="1258"/>
      <c r="BS307" s="220"/>
      <c r="BT307" s="1258"/>
      <c r="BU307" s="1258"/>
      <c r="BV307" s="220"/>
      <c r="BW307" s="1258"/>
      <c r="BX307" s="1258"/>
      <c r="BY307" s="218"/>
      <c r="BZ307" s="1275"/>
      <c r="CB307" s="1272"/>
      <c r="CC307" s="1258"/>
      <c r="CD307" s="220"/>
      <c r="CE307" s="1269"/>
      <c r="CF307" s="1258"/>
      <c r="CG307" s="220"/>
      <c r="CH307" s="1258"/>
      <c r="CI307" s="1258"/>
      <c r="CJ307" s="220"/>
      <c r="CK307" s="1258"/>
      <c r="CL307" s="1258"/>
      <c r="CM307" s="218"/>
      <c r="CN307" s="1275"/>
    </row>
    <row r="308" spans="2:92" ht="94.5" customHeight="1" x14ac:dyDescent="0.2">
      <c r="B308" s="1227"/>
      <c r="C308" s="1231"/>
      <c r="D308" s="1215"/>
      <c r="E308" s="1234"/>
      <c r="F308" s="1216"/>
      <c r="G308" s="328" t="str">
        <f>+'Plan de Accion apoyo transversa'!X75</f>
        <v>Elementos ergonómicos adquiridos</v>
      </c>
      <c r="H308" s="240" t="str">
        <f>+'Plan de Accion apoyo transversa'!AK75</f>
        <v># Elementos ergonómicos adquiridos/ # elementos ergonómicos requeridos</v>
      </c>
      <c r="J308" s="323">
        <f>+'Plan de Accion apoyo transversa'!AT75</f>
        <v>0</v>
      </c>
      <c r="K308" s="503" t="str">
        <f>+'Plan de Accion apoyo transversa'!CE75</f>
        <v>No Prog ni Ejec</v>
      </c>
      <c r="L308" s="503" t="s">
        <v>204</v>
      </c>
      <c r="M308" s="503">
        <f>+'Plan de Accion apoyo transversa'!AX75</f>
        <v>0</v>
      </c>
      <c r="N308" s="503">
        <f t="shared" si="271"/>
        <v>0</v>
      </c>
      <c r="O308" s="505" t="s">
        <v>204</v>
      </c>
      <c r="P308" s="229"/>
      <c r="Q308" s="323">
        <f>+'Plan de Accion apoyo transversa'!BD75</f>
        <v>0</v>
      </c>
      <c r="R308" s="324" t="str">
        <f>+'Plan de Accion apoyo transversa'!CG75</f>
        <v>No Prog ni Ejec</v>
      </c>
      <c r="S308" s="266" t="s">
        <v>204</v>
      </c>
      <c r="T308" s="324">
        <f>+'Plan de Accion apoyo transversa'!BH75</f>
        <v>0</v>
      </c>
      <c r="U308" s="324">
        <f>IF(T308&gt;100%,100%,T308)</f>
        <v>0</v>
      </c>
      <c r="V308" s="227" t="s">
        <v>204</v>
      </c>
      <c r="W308" s="229"/>
      <c r="X308" s="323">
        <f>+'Plan de Accion apoyo transversa'!BN75</f>
        <v>0</v>
      </c>
      <c r="Y308" s="324" t="str">
        <f>+'Plan de Accion apoyo transversa'!CI75</f>
        <v>No Prog ni Ejec</v>
      </c>
      <c r="Z308" s="228" t="s">
        <v>204</v>
      </c>
      <c r="AA308" s="233">
        <f>+'Plan de Accion apoyo transversa'!BR75</f>
        <v>0</v>
      </c>
      <c r="AB308" s="233">
        <f>IF(AA308&gt;100%,100%,AA308)</f>
        <v>0</v>
      </c>
      <c r="AC308" s="232" t="s">
        <v>204</v>
      </c>
      <c r="AD308" s="229"/>
      <c r="AE308" s="323">
        <f>+'Plan de Accion apoyo transversa'!BX75</f>
        <v>0</v>
      </c>
      <c r="AF308" s="324">
        <f>+'Plan de Accion apoyo transversa'!CK75</f>
        <v>0</v>
      </c>
      <c r="AG308" s="228">
        <f>IF(AF308&gt;100%,100%,AF308)</f>
        <v>0</v>
      </c>
      <c r="AH308" s="324">
        <f>+'Plan de Accion apoyo transversa'!CB75</f>
        <v>0</v>
      </c>
      <c r="AI308" s="227">
        <f>IF(AH308&gt;100%,100%,AH308)</f>
        <v>0</v>
      </c>
      <c r="AJ308" s="1256"/>
      <c r="AL308" s="1272"/>
      <c r="AM308" s="1258"/>
      <c r="AN308" s="220"/>
      <c r="AO308" s="1269"/>
      <c r="AP308" s="1258"/>
      <c r="AQ308" s="220"/>
      <c r="AR308" s="1258"/>
      <c r="AS308" s="1258"/>
      <c r="AT308" s="220"/>
      <c r="AU308" s="1258"/>
      <c r="AV308" s="1258"/>
      <c r="AW308" s="218"/>
      <c r="AX308" s="1275"/>
      <c r="AZ308" s="1272"/>
      <c r="BA308" s="1258"/>
      <c r="BB308" s="220"/>
      <c r="BC308" s="1269"/>
      <c r="BD308" s="1258"/>
      <c r="BE308" s="220"/>
      <c r="BF308" s="1258"/>
      <c r="BG308" s="1258"/>
      <c r="BH308" s="220"/>
      <c r="BI308" s="1258"/>
      <c r="BJ308" s="1258"/>
      <c r="BK308" s="218"/>
      <c r="BL308" s="1275"/>
      <c r="BN308" s="1272"/>
      <c r="BO308" s="1258"/>
      <c r="BP308" s="220"/>
      <c r="BQ308" s="1269"/>
      <c r="BR308" s="1258"/>
      <c r="BS308" s="220"/>
      <c r="BT308" s="1258"/>
      <c r="BU308" s="1258"/>
      <c r="BV308" s="220"/>
      <c r="BW308" s="1258"/>
      <c r="BX308" s="1258"/>
      <c r="BY308" s="218"/>
      <c r="BZ308" s="1275"/>
      <c r="CB308" s="1272"/>
      <c r="CC308" s="1258"/>
      <c r="CD308" s="220"/>
      <c r="CE308" s="1269"/>
      <c r="CF308" s="1258"/>
      <c r="CG308" s="220"/>
      <c r="CH308" s="1258"/>
      <c r="CI308" s="1258"/>
      <c r="CJ308" s="220"/>
      <c r="CK308" s="1258"/>
      <c r="CL308" s="1258"/>
      <c r="CM308" s="218"/>
      <c r="CN308" s="1275"/>
    </row>
    <row r="309" spans="2:92" ht="28.5" x14ac:dyDescent="0.2">
      <c r="B309" s="1227"/>
      <c r="C309" s="1231"/>
      <c r="D309" s="1215"/>
      <c r="E309" s="1234"/>
      <c r="F309" s="1202" t="s">
        <v>502</v>
      </c>
      <c r="G309" s="328" t="str">
        <f>+'Plan de Accion apoyo transversa'!X76</f>
        <v>Capacitación de Sistema de Seguridad Social realizada</v>
      </c>
      <c r="H309" s="240" t="str">
        <f>+'Plan de Accion apoyo transversa'!AK76</f>
        <v xml:space="preserve"># Capacitaciones realizadas </v>
      </c>
      <c r="J309" s="234">
        <f>+'Plan de Accion apoyo transversa'!AT76</f>
        <v>0</v>
      </c>
      <c r="K309" s="503" t="str">
        <f>+'Plan de Accion apoyo transversa'!CE76</f>
        <v>No Prog ni Ejec</v>
      </c>
      <c r="L309" s="503" t="s">
        <v>204</v>
      </c>
      <c r="M309" s="503">
        <f>+'Plan de Accion apoyo transversa'!AX76</f>
        <v>0</v>
      </c>
      <c r="N309" s="503">
        <f t="shared" si="271"/>
        <v>0</v>
      </c>
      <c r="O309" s="505" t="s">
        <v>204</v>
      </c>
      <c r="P309" s="229"/>
      <c r="Q309" s="234">
        <f>+'Plan de Accion apoyo transversa'!BD76</f>
        <v>0</v>
      </c>
      <c r="R309" s="324">
        <f>+'Plan de Accion apoyo transversa'!CG76</f>
        <v>0</v>
      </c>
      <c r="S309" s="266">
        <f>IF(R309&gt;100%,100%,R309)</f>
        <v>0</v>
      </c>
      <c r="T309" s="324">
        <f>+'Plan de Accion apoyo transversa'!BH76</f>
        <v>0</v>
      </c>
      <c r="U309" s="324">
        <f t="shared" ref="U309:U326" si="274">IF(T309&gt;100%,100%,T309)</f>
        <v>0</v>
      </c>
      <c r="V309" s="227">
        <f>+U309</f>
        <v>0</v>
      </c>
      <c r="W309" s="229"/>
      <c r="X309" s="234">
        <f>+'Plan de Accion apoyo transversa'!BN76</f>
        <v>0</v>
      </c>
      <c r="Y309" s="324" t="str">
        <f>+'Plan de Accion apoyo transversa'!CI76</f>
        <v>No Prog ni Ejec</v>
      </c>
      <c r="Z309" s="228" t="s">
        <v>204</v>
      </c>
      <c r="AA309" s="233">
        <f>+'Plan de Accion apoyo transversa'!BR76</f>
        <v>0</v>
      </c>
      <c r="AB309" s="233">
        <f t="shared" ref="AB309:AB326" si="275">IF(AA309&gt;100%,100%,AA309)</f>
        <v>0</v>
      </c>
      <c r="AC309" s="232">
        <f t="shared" ref="AC309:AC326" si="276">+AB309</f>
        <v>0</v>
      </c>
      <c r="AD309" s="229"/>
      <c r="AE309" s="234">
        <f>+'Plan de Accion apoyo transversa'!BX76</f>
        <v>0</v>
      </c>
      <c r="AF309" s="324" t="str">
        <f>+'Plan de Accion apoyo transversa'!CK76</f>
        <v>No Prog ni Ejec</v>
      </c>
      <c r="AG309" s="228" t="s">
        <v>204</v>
      </c>
      <c r="AH309" s="324">
        <f>+'Plan de Accion apoyo transversa'!CB76</f>
        <v>0</v>
      </c>
      <c r="AI309" s="227">
        <f t="shared" ref="AI309:AI326" si="277">IF(AH309&gt;100%,100%,AH309)</f>
        <v>0</v>
      </c>
      <c r="AJ309" s="1256"/>
      <c r="AL309" s="1272"/>
      <c r="AM309" s="1258"/>
      <c r="AN309" s="220"/>
      <c r="AO309" s="1269"/>
      <c r="AP309" s="1258"/>
      <c r="AQ309" s="220"/>
      <c r="AR309" s="1258"/>
      <c r="AS309" s="1258"/>
      <c r="AT309" s="220"/>
      <c r="AU309" s="1258"/>
      <c r="AV309" s="1258"/>
      <c r="AW309" s="218"/>
      <c r="AX309" s="1275"/>
      <c r="AZ309" s="1272"/>
      <c r="BA309" s="1258"/>
      <c r="BB309" s="220"/>
      <c r="BC309" s="1269"/>
      <c r="BD309" s="1258"/>
      <c r="BE309" s="220"/>
      <c r="BF309" s="1258"/>
      <c r="BG309" s="1258"/>
      <c r="BH309" s="220"/>
      <c r="BI309" s="1258"/>
      <c r="BJ309" s="1258"/>
      <c r="BK309" s="218"/>
      <c r="BL309" s="1275"/>
      <c r="BN309" s="1272"/>
      <c r="BO309" s="1258"/>
      <c r="BP309" s="220"/>
      <c r="BQ309" s="1269"/>
      <c r="BR309" s="1258"/>
      <c r="BS309" s="220"/>
      <c r="BT309" s="1258"/>
      <c r="BU309" s="1258"/>
      <c r="BV309" s="220"/>
      <c r="BW309" s="1258"/>
      <c r="BX309" s="1258"/>
      <c r="BY309" s="218"/>
      <c r="BZ309" s="1275"/>
      <c r="CB309" s="1272"/>
      <c r="CC309" s="1258"/>
      <c r="CD309" s="220"/>
      <c r="CE309" s="1269"/>
      <c r="CF309" s="1258"/>
      <c r="CG309" s="220"/>
      <c r="CH309" s="1258"/>
      <c r="CI309" s="1258"/>
      <c r="CJ309" s="220"/>
      <c r="CK309" s="1258"/>
      <c r="CL309" s="1258"/>
      <c r="CM309" s="218"/>
      <c r="CN309" s="1275"/>
    </row>
    <row r="310" spans="2:92" ht="22.5" customHeight="1" x14ac:dyDescent="0.2">
      <c r="B310" s="1227"/>
      <c r="C310" s="1231"/>
      <c r="D310" s="1215"/>
      <c r="E310" s="1234"/>
      <c r="F310" s="1210"/>
      <c r="G310" s="328" t="str">
        <f>+'Plan de Accion apoyo transversa'!X77</f>
        <v>Capacitación de Administración de personal sector publico y legislación laboral realizada</v>
      </c>
      <c r="H310" s="240" t="str">
        <f>+'Plan de Accion apoyo transversa'!AK77</f>
        <v xml:space="preserve"># Capacitaciones realizadas </v>
      </c>
      <c r="J310" s="234">
        <f>+'Plan de Accion apoyo transversa'!AT77</f>
        <v>0</v>
      </c>
      <c r="K310" s="503" t="str">
        <f>+'Plan de Accion apoyo transversa'!CE77</f>
        <v>No Prog ni Ejec</v>
      </c>
      <c r="L310" s="503" t="s">
        <v>204</v>
      </c>
      <c r="M310" s="503">
        <f>+'Plan de Accion apoyo transversa'!AX77</f>
        <v>0</v>
      </c>
      <c r="N310" s="503">
        <f t="shared" si="271"/>
        <v>0</v>
      </c>
      <c r="O310" s="505" t="s">
        <v>204</v>
      </c>
      <c r="P310" s="229"/>
      <c r="Q310" s="234">
        <f>+'Plan de Accion apoyo transversa'!BD77</f>
        <v>0</v>
      </c>
      <c r="R310" s="324" t="str">
        <f>+'Plan de Accion apoyo transversa'!CG77</f>
        <v>No Prog ni Ejec</v>
      </c>
      <c r="S310" s="266" t="s">
        <v>204</v>
      </c>
      <c r="T310" s="324">
        <f>+'Plan de Accion apoyo transversa'!BH77</f>
        <v>0</v>
      </c>
      <c r="U310" s="324">
        <f t="shared" si="274"/>
        <v>0</v>
      </c>
      <c r="V310" s="227" t="s">
        <v>204</v>
      </c>
      <c r="W310" s="229"/>
      <c r="X310" s="234">
        <f>+'Plan de Accion apoyo transversa'!BN77</f>
        <v>0</v>
      </c>
      <c r="Y310" s="324">
        <f>+'Plan de Accion apoyo transversa'!CI77</f>
        <v>0</v>
      </c>
      <c r="Z310" s="228">
        <f>IF(Y310&gt;100%,100%,Y310)</f>
        <v>0</v>
      </c>
      <c r="AA310" s="233">
        <f>+'Plan de Accion apoyo transversa'!BR77</f>
        <v>0</v>
      </c>
      <c r="AB310" s="233">
        <f t="shared" si="275"/>
        <v>0</v>
      </c>
      <c r="AC310" s="232">
        <f t="shared" si="276"/>
        <v>0</v>
      </c>
      <c r="AD310" s="229"/>
      <c r="AE310" s="234">
        <f>+'Plan de Accion apoyo transversa'!BX77</f>
        <v>0</v>
      </c>
      <c r="AF310" s="324" t="str">
        <f>+'Plan de Accion apoyo transversa'!CK77</f>
        <v>No Prog ni Ejec</v>
      </c>
      <c r="AG310" s="228" t="s">
        <v>204</v>
      </c>
      <c r="AH310" s="324">
        <f>+'Plan de Accion apoyo transversa'!CB77</f>
        <v>0</v>
      </c>
      <c r="AI310" s="227">
        <f t="shared" si="277"/>
        <v>0</v>
      </c>
      <c r="AJ310" s="1256"/>
      <c r="AL310" s="1272"/>
      <c r="AM310" s="1258"/>
      <c r="AN310" s="220"/>
      <c r="AO310" s="1269"/>
      <c r="AP310" s="1258"/>
      <c r="AQ310" s="220"/>
      <c r="AR310" s="1258"/>
      <c r="AS310" s="1258"/>
      <c r="AT310" s="220"/>
      <c r="AU310" s="1258"/>
      <c r="AV310" s="1258"/>
      <c r="AW310" s="218"/>
      <c r="AX310" s="1275"/>
      <c r="AZ310" s="1272"/>
      <c r="BA310" s="1258"/>
      <c r="BB310" s="220"/>
      <c r="BC310" s="1269"/>
      <c r="BD310" s="1258"/>
      <c r="BE310" s="220"/>
      <c r="BF310" s="1258"/>
      <c r="BG310" s="1258"/>
      <c r="BH310" s="220"/>
      <c r="BI310" s="1258"/>
      <c r="BJ310" s="1258"/>
      <c r="BK310" s="218"/>
      <c r="BL310" s="1275"/>
      <c r="BN310" s="1272"/>
      <c r="BO310" s="1258"/>
      <c r="BP310" s="220"/>
      <c r="BQ310" s="1269"/>
      <c r="BR310" s="1258"/>
      <c r="BS310" s="220"/>
      <c r="BT310" s="1258"/>
      <c r="BU310" s="1258"/>
      <c r="BV310" s="220"/>
      <c r="BW310" s="1258"/>
      <c r="BX310" s="1258"/>
      <c r="BY310" s="218"/>
      <c r="BZ310" s="1275"/>
      <c r="CB310" s="1272"/>
      <c r="CC310" s="1258"/>
      <c r="CD310" s="220"/>
      <c r="CE310" s="1269"/>
      <c r="CF310" s="1258"/>
      <c r="CG310" s="220"/>
      <c r="CH310" s="1258"/>
      <c r="CI310" s="1258"/>
      <c r="CJ310" s="220"/>
      <c r="CK310" s="1258"/>
      <c r="CL310" s="1258"/>
      <c r="CM310" s="218"/>
      <c r="CN310" s="1275"/>
    </row>
    <row r="311" spans="2:92" ht="22.5" customHeight="1" x14ac:dyDescent="0.2">
      <c r="B311" s="1227"/>
      <c r="C311" s="1231"/>
      <c r="D311" s="1215"/>
      <c r="E311" s="1234"/>
      <c r="F311" s="1210"/>
      <c r="G311" s="328" t="str">
        <f>+'Plan de Accion apoyo transversa'!X80</f>
        <v>Capacitación de Big Data realizada</v>
      </c>
      <c r="H311" s="1347" t="str">
        <f>+'Plan de Accion apoyo transversa'!AK80</f>
        <v xml:space="preserve"># Capacitaciones realizadas </v>
      </c>
      <c r="J311" s="1350">
        <f>+'Plan de Accion apoyo transversa'!AT80</f>
        <v>0</v>
      </c>
      <c r="K311" s="1197" t="str">
        <f>+'Plan de Accion apoyo transversa'!CE80</f>
        <v>No Prog ni Ejec</v>
      </c>
      <c r="L311" s="1197" t="s">
        <v>204</v>
      </c>
      <c r="M311" s="1197">
        <f>+'Plan de Accion apoyo transversa'!AX80</f>
        <v>0</v>
      </c>
      <c r="N311" s="1197">
        <f t="shared" si="271"/>
        <v>0</v>
      </c>
      <c r="O311" s="1192" t="s">
        <v>204</v>
      </c>
      <c r="P311" s="229"/>
      <c r="Q311" s="1353">
        <f>+'Plan de Accion apoyo transversa'!BD80</f>
        <v>1</v>
      </c>
      <c r="R311" s="1197">
        <f>+'Plan de Accion apoyo transversa'!CG80</f>
        <v>1</v>
      </c>
      <c r="S311" s="1197">
        <f>IF(R311&gt;100%,100%,R311)</f>
        <v>1</v>
      </c>
      <c r="T311" s="1197">
        <f>+'Plan de Accion apoyo transversa'!BH80</f>
        <v>0.16666666666666666</v>
      </c>
      <c r="U311" s="1197">
        <f t="shared" si="274"/>
        <v>0.16666666666666666</v>
      </c>
      <c r="V311" s="1192">
        <f>+U311</f>
        <v>0.16666666666666666</v>
      </c>
      <c r="W311" s="229"/>
      <c r="X311" s="1353">
        <f>+'Plan de Accion apoyo transversa'!BN80</f>
        <v>0</v>
      </c>
      <c r="Y311" s="1197">
        <f>+'Plan de Accion apoyo transversa'!CI80</f>
        <v>0</v>
      </c>
      <c r="Z311" s="1197">
        <f t="shared" ref="Z311:Z316" si="278">IF(Y311&gt;100%,100%,Y311)</f>
        <v>0</v>
      </c>
      <c r="AA311" s="1204">
        <f>+'Plan de Accion apoyo transversa'!BR80</f>
        <v>0.16666666666666666</v>
      </c>
      <c r="AB311" s="1204">
        <f t="shared" si="275"/>
        <v>0.16666666666666666</v>
      </c>
      <c r="AC311" s="1207">
        <f t="shared" si="276"/>
        <v>0.16666666666666666</v>
      </c>
      <c r="AD311" s="229"/>
      <c r="AE311" s="1353">
        <f>+'Plan de Accion apoyo transversa'!BX80</f>
        <v>0</v>
      </c>
      <c r="AF311" s="1197">
        <f>+'Plan de Accion apoyo transversa'!CK80</f>
        <v>0</v>
      </c>
      <c r="AG311" s="1197">
        <f t="shared" ref="AG311:AG316" si="279">IF(AF311&gt;100%,100%,AF311)</f>
        <v>0</v>
      </c>
      <c r="AH311" s="1197">
        <f>+'Plan de Accion apoyo transversa'!CB80</f>
        <v>0.16666666666666666</v>
      </c>
      <c r="AI311" s="1192">
        <f t="shared" si="277"/>
        <v>0.16666666666666666</v>
      </c>
      <c r="AJ311" s="1256"/>
      <c r="AL311" s="1272"/>
      <c r="AM311" s="1258"/>
      <c r="AN311" s="220"/>
      <c r="AO311" s="1269"/>
      <c r="AP311" s="1258"/>
      <c r="AQ311" s="220"/>
      <c r="AR311" s="1258"/>
      <c r="AS311" s="1258"/>
      <c r="AT311" s="220"/>
      <c r="AU311" s="1258"/>
      <c r="AV311" s="1258"/>
      <c r="AW311" s="218"/>
      <c r="AX311" s="1275"/>
      <c r="AZ311" s="1272"/>
      <c r="BA311" s="1258"/>
      <c r="BB311" s="220"/>
      <c r="BC311" s="1269"/>
      <c r="BD311" s="1258"/>
      <c r="BE311" s="220"/>
      <c r="BF311" s="1258"/>
      <c r="BG311" s="1258"/>
      <c r="BH311" s="220"/>
      <c r="BI311" s="1258"/>
      <c r="BJ311" s="1258"/>
      <c r="BK311" s="218"/>
      <c r="BL311" s="1275"/>
      <c r="BN311" s="1272"/>
      <c r="BO311" s="1258"/>
      <c r="BP311" s="220"/>
      <c r="BQ311" s="1269"/>
      <c r="BR311" s="1258"/>
      <c r="BS311" s="220"/>
      <c r="BT311" s="1258"/>
      <c r="BU311" s="1258"/>
      <c r="BV311" s="220"/>
      <c r="BW311" s="1258"/>
      <c r="BX311" s="1258"/>
      <c r="BY311" s="218"/>
      <c r="BZ311" s="1275"/>
      <c r="CB311" s="1272"/>
      <c r="CC311" s="1258"/>
      <c r="CD311" s="220"/>
      <c r="CE311" s="1269"/>
      <c r="CF311" s="1258"/>
      <c r="CG311" s="220"/>
      <c r="CH311" s="1258"/>
      <c r="CI311" s="1258"/>
      <c r="CJ311" s="220"/>
      <c r="CK311" s="1258"/>
      <c r="CL311" s="1258"/>
      <c r="CM311" s="218"/>
      <c r="CN311" s="1275"/>
    </row>
    <row r="312" spans="2:92" ht="22.5" customHeight="1" x14ac:dyDescent="0.2">
      <c r="B312" s="1227"/>
      <c r="C312" s="1231"/>
      <c r="D312" s="1215"/>
      <c r="E312" s="1234"/>
      <c r="F312" s="1210"/>
      <c r="G312" s="328" t="str">
        <f>+'Plan de Accion apoyo transversa'!X81</f>
        <v>Capacitación de Finanzas, contabilidad básicas, Presupuesto Público, Gestión Presupuestal EICE realizada</v>
      </c>
      <c r="H312" s="1348"/>
      <c r="J312" s="1351"/>
      <c r="K312" s="1198"/>
      <c r="L312" s="1198"/>
      <c r="M312" s="1198"/>
      <c r="N312" s="1198"/>
      <c r="O312" s="1200"/>
      <c r="P312" s="229"/>
      <c r="Q312" s="1354"/>
      <c r="R312" s="1198"/>
      <c r="S312" s="1198"/>
      <c r="T312" s="1198"/>
      <c r="U312" s="1198"/>
      <c r="V312" s="1200"/>
      <c r="W312" s="229"/>
      <c r="X312" s="1354"/>
      <c r="Y312" s="1198"/>
      <c r="Z312" s="1198">
        <f t="shared" si="278"/>
        <v>0</v>
      </c>
      <c r="AA312" s="1205"/>
      <c r="AB312" s="1205"/>
      <c r="AC312" s="1208"/>
      <c r="AD312" s="229"/>
      <c r="AE312" s="1354"/>
      <c r="AF312" s="1198"/>
      <c r="AG312" s="1198">
        <f t="shared" si="279"/>
        <v>0</v>
      </c>
      <c r="AH312" s="1198"/>
      <c r="AI312" s="1200"/>
      <c r="AJ312" s="1256"/>
      <c r="AL312" s="1272"/>
      <c r="AM312" s="1258"/>
      <c r="AN312" s="220"/>
      <c r="AO312" s="1269"/>
      <c r="AP312" s="1258"/>
      <c r="AQ312" s="220"/>
      <c r="AR312" s="1258"/>
      <c r="AS312" s="1258"/>
      <c r="AT312" s="220"/>
      <c r="AU312" s="1258"/>
      <c r="AV312" s="1258"/>
      <c r="AW312" s="218"/>
      <c r="AX312" s="1275"/>
      <c r="AZ312" s="1272"/>
      <c r="BA312" s="1258"/>
      <c r="BB312" s="220"/>
      <c r="BC312" s="1269"/>
      <c r="BD312" s="1258"/>
      <c r="BE312" s="220"/>
      <c r="BF312" s="1258"/>
      <c r="BG312" s="1258"/>
      <c r="BH312" s="220"/>
      <c r="BI312" s="1258"/>
      <c r="BJ312" s="1258"/>
      <c r="BK312" s="218"/>
      <c r="BL312" s="1275"/>
      <c r="BN312" s="1272"/>
      <c r="BO312" s="1258"/>
      <c r="BP312" s="220"/>
      <c r="BQ312" s="1269"/>
      <c r="BR312" s="1258"/>
      <c r="BS312" s="220"/>
      <c r="BT312" s="1258"/>
      <c r="BU312" s="1258"/>
      <c r="BV312" s="220"/>
      <c r="BW312" s="1258"/>
      <c r="BX312" s="1258"/>
      <c r="BY312" s="218"/>
      <c r="BZ312" s="1275"/>
      <c r="CB312" s="1272"/>
      <c r="CC312" s="1258"/>
      <c r="CD312" s="220"/>
      <c r="CE312" s="1269"/>
      <c r="CF312" s="1258"/>
      <c r="CG312" s="220"/>
      <c r="CH312" s="1258"/>
      <c r="CI312" s="1258"/>
      <c r="CJ312" s="220"/>
      <c r="CK312" s="1258"/>
      <c r="CL312" s="1258"/>
      <c r="CM312" s="218"/>
      <c r="CN312" s="1275"/>
    </row>
    <row r="313" spans="2:92" ht="22.5" customHeight="1" x14ac:dyDescent="0.2">
      <c r="B313" s="1227"/>
      <c r="C313" s="1231"/>
      <c r="D313" s="1215"/>
      <c r="E313" s="1234"/>
      <c r="F313" s="1210"/>
      <c r="G313" s="328" t="str">
        <f>+'Plan de Accion apoyo transversa'!X82</f>
        <v>Capacitación de Estadística realizada</v>
      </c>
      <c r="H313" s="1348"/>
      <c r="J313" s="1351"/>
      <c r="K313" s="1198"/>
      <c r="L313" s="1198"/>
      <c r="M313" s="1198"/>
      <c r="N313" s="1198"/>
      <c r="O313" s="1200"/>
      <c r="P313" s="229"/>
      <c r="Q313" s="1354"/>
      <c r="R313" s="1198"/>
      <c r="S313" s="1198"/>
      <c r="T313" s="1198"/>
      <c r="U313" s="1198"/>
      <c r="V313" s="1200"/>
      <c r="W313" s="229"/>
      <c r="X313" s="1354"/>
      <c r="Y313" s="1198"/>
      <c r="Z313" s="1198">
        <f t="shared" si="278"/>
        <v>0</v>
      </c>
      <c r="AA313" s="1205"/>
      <c r="AB313" s="1205"/>
      <c r="AC313" s="1208"/>
      <c r="AD313" s="229"/>
      <c r="AE313" s="1354"/>
      <c r="AF313" s="1198"/>
      <c r="AG313" s="1198">
        <f t="shared" si="279"/>
        <v>0</v>
      </c>
      <c r="AH313" s="1198"/>
      <c r="AI313" s="1200"/>
      <c r="AJ313" s="1256"/>
      <c r="AL313" s="1272"/>
      <c r="AM313" s="1258"/>
      <c r="AN313" s="220"/>
      <c r="AO313" s="1269"/>
      <c r="AP313" s="1258"/>
      <c r="AQ313" s="220"/>
      <c r="AR313" s="1258"/>
      <c r="AS313" s="1258"/>
      <c r="AT313" s="220"/>
      <c r="AU313" s="1258"/>
      <c r="AV313" s="1258"/>
      <c r="AW313" s="218"/>
      <c r="AX313" s="1275"/>
      <c r="AZ313" s="1272"/>
      <c r="BA313" s="1258"/>
      <c r="BB313" s="220"/>
      <c r="BC313" s="1269"/>
      <c r="BD313" s="1258"/>
      <c r="BE313" s="220"/>
      <c r="BF313" s="1258"/>
      <c r="BG313" s="1258"/>
      <c r="BH313" s="220"/>
      <c r="BI313" s="1258"/>
      <c r="BJ313" s="1258"/>
      <c r="BK313" s="218"/>
      <c r="BL313" s="1275"/>
      <c r="BN313" s="1272"/>
      <c r="BO313" s="1258"/>
      <c r="BP313" s="220"/>
      <c r="BQ313" s="1269"/>
      <c r="BR313" s="1258"/>
      <c r="BS313" s="220"/>
      <c r="BT313" s="1258"/>
      <c r="BU313" s="1258"/>
      <c r="BV313" s="220"/>
      <c r="BW313" s="1258"/>
      <c r="BX313" s="1258"/>
      <c r="BY313" s="218"/>
      <c r="BZ313" s="1275"/>
      <c r="CB313" s="1272"/>
      <c r="CC313" s="1258"/>
      <c r="CD313" s="220"/>
      <c r="CE313" s="1269"/>
      <c r="CF313" s="1258"/>
      <c r="CG313" s="220"/>
      <c r="CH313" s="1258"/>
      <c r="CI313" s="1258"/>
      <c r="CJ313" s="220"/>
      <c r="CK313" s="1258"/>
      <c r="CL313" s="1258"/>
      <c r="CM313" s="218"/>
      <c r="CN313" s="1275"/>
    </row>
    <row r="314" spans="2:92" ht="22.5" customHeight="1" x14ac:dyDescent="0.2">
      <c r="B314" s="1227"/>
      <c r="C314" s="1231"/>
      <c r="D314" s="1215"/>
      <c r="E314" s="1234"/>
      <c r="F314" s="1210"/>
      <c r="G314" s="584" t="str">
        <f>+'Plan de Accion apoyo transversa'!X83</f>
        <v>Capacitación de Trabajo en equipo, comunicación asertiva realizada.</v>
      </c>
      <c r="H314" s="1348"/>
      <c r="J314" s="1351"/>
      <c r="K314" s="1198"/>
      <c r="L314" s="1198"/>
      <c r="M314" s="1198"/>
      <c r="N314" s="1198"/>
      <c r="O314" s="1200"/>
      <c r="P314" s="229"/>
      <c r="Q314" s="1354"/>
      <c r="R314" s="1198"/>
      <c r="S314" s="1198"/>
      <c r="T314" s="1198"/>
      <c r="U314" s="1198"/>
      <c r="V314" s="1200"/>
      <c r="W314" s="229"/>
      <c r="X314" s="1354"/>
      <c r="Y314" s="1198"/>
      <c r="Z314" s="1198">
        <f t="shared" si="278"/>
        <v>0</v>
      </c>
      <c r="AA314" s="1205"/>
      <c r="AB314" s="1205"/>
      <c r="AC314" s="1208"/>
      <c r="AD314" s="229"/>
      <c r="AE314" s="1354"/>
      <c r="AF314" s="1198"/>
      <c r="AG314" s="1198">
        <f t="shared" si="279"/>
        <v>0</v>
      </c>
      <c r="AH314" s="1198"/>
      <c r="AI314" s="1200"/>
      <c r="AJ314" s="1256"/>
      <c r="AL314" s="1272"/>
      <c r="AM314" s="1258"/>
      <c r="AN314" s="220"/>
      <c r="AO314" s="1269"/>
      <c r="AP314" s="1258"/>
      <c r="AQ314" s="220"/>
      <c r="AR314" s="1258"/>
      <c r="AS314" s="1258"/>
      <c r="AT314" s="220"/>
      <c r="AU314" s="1258"/>
      <c r="AV314" s="1258"/>
      <c r="AW314" s="218"/>
      <c r="AX314" s="1275"/>
      <c r="AZ314" s="1272"/>
      <c r="BA314" s="1258"/>
      <c r="BB314" s="220"/>
      <c r="BC314" s="1269"/>
      <c r="BD314" s="1258"/>
      <c r="BE314" s="220"/>
      <c r="BF314" s="1258"/>
      <c r="BG314" s="1258"/>
      <c r="BH314" s="220"/>
      <c r="BI314" s="1258"/>
      <c r="BJ314" s="1258"/>
      <c r="BK314" s="218"/>
      <c r="BL314" s="1275"/>
      <c r="BN314" s="1272"/>
      <c r="BO314" s="1258"/>
      <c r="BP314" s="220"/>
      <c r="BQ314" s="1269"/>
      <c r="BR314" s="1258"/>
      <c r="BS314" s="220"/>
      <c r="BT314" s="1258"/>
      <c r="BU314" s="1258"/>
      <c r="BV314" s="220"/>
      <c r="BW314" s="1258"/>
      <c r="BX314" s="1258"/>
      <c r="BY314" s="218"/>
      <c r="BZ314" s="1275"/>
      <c r="CB314" s="1272"/>
      <c r="CC314" s="1258"/>
      <c r="CD314" s="220"/>
      <c r="CE314" s="1269"/>
      <c r="CF314" s="1258"/>
      <c r="CG314" s="220"/>
      <c r="CH314" s="1258"/>
      <c r="CI314" s="1258"/>
      <c r="CJ314" s="220"/>
      <c r="CK314" s="1258"/>
      <c r="CL314" s="1258"/>
      <c r="CM314" s="218"/>
      <c r="CN314" s="1275"/>
    </row>
    <row r="315" spans="2:92" ht="22.5" customHeight="1" x14ac:dyDescent="0.2">
      <c r="B315" s="1227"/>
      <c r="C315" s="1231"/>
      <c r="D315" s="1215"/>
      <c r="E315" s="1234"/>
      <c r="F315" s="1210"/>
      <c r="G315" s="584" t="str">
        <f>+'Plan de Accion apoyo transversa'!X84</f>
        <v>Capacitación de Redacción realizada</v>
      </c>
      <c r="H315" s="1348"/>
      <c r="J315" s="1351"/>
      <c r="K315" s="1198"/>
      <c r="L315" s="1198"/>
      <c r="M315" s="1198"/>
      <c r="N315" s="1198"/>
      <c r="O315" s="1200"/>
      <c r="P315" s="229"/>
      <c r="Q315" s="1354"/>
      <c r="R315" s="1198"/>
      <c r="S315" s="1198"/>
      <c r="T315" s="1198"/>
      <c r="U315" s="1198"/>
      <c r="V315" s="1200"/>
      <c r="W315" s="229"/>
      <c r="X315" s="1354"/>
      <c r="Y315" s="1198"/>
      <c r="Z315" s="1198">
        <f t="shared" si="278"/>
        <v>0</v>
      </c>
      <c r="AA315" s="1205"/>
      <c r="AB315" s="1205"/>
      <c r="AC315" s="1208"/>
      <c r="AD315" s="229"/>
      <c r="AE315" s="1354"/>
      <c r="AF315" s="1198"/>
      <c r="AG315" s="1198">
        <f t="shared" si="279"/>
        <v>0</v>
      </c>
      <c r="AH315" s="1198"/>
      <c r="AI315" s="1200"/>
      <c r="AJ315" s="1256"/>
      <c r="AL315" s="1272"/>
      <c r="AM315" s="1258"/>
      <c r="AN315" s="220"/>
      <c r="AO315" s="1269"/>
      <c r="AP315" s="1258"/>
      <c r="AQ315" s="220"/>
      <c r="AR315" s="1258"/>
      <c r="AS315" s="1258"/>
      <c r="AT315" s="220"/>
      <c r="AU315" s="1258"/>
      <c r="AV315" s="1258"/>
      <c r="AW315" s="218"/>
      <c r="AX315" s="1275"/>
      <c r="AZ315" s="1272"/>
      <c r="BA315" s="1258"/>
      <c r="BB315" s="220"/>
      <c r="BC315" s="1269"/>
      <c r="BD315" s="1258"/>
      <c r="BE315" s="220"/>
      <c r="BF315" s="1258"/>
      <c r="BG315" s="1258"/>
      <c r="BH315" s="220"/>
      <c r="BI315" s="1258"/>
      <c r="BJ315" s="1258"/>
      <c r="BK315" s="218"/>
      <c r="BL315" s="1275"/>
      <c r="BN315" s="1272"/>
      <c r="BO315" s="1258"/>
      <c r="BP315" s="220"/>
      <c r="BQ315" s="1269"/>
      <c r="BR315" s="1258"/>
      <c r="BS315" s="220"/>
      <c r="BT315" s="1258"/>
      <c r="BU315" s="1258"/>
      <c r="BV315" s="220"/>
      <c r="BW315" s="1258"/>
      <c r="BX315" s="1258"/>
      <c r="BY315" s="218"/>
      <c r="BZ315" s="1275"/>
      <c r="CB315" s="1272"/>
      <c r="CC315" s="1258"/>
      <c r="CD315" s="220"/>
      <c r="CE315" s="1269"/>
      <c r="CF315" s="1258"/>
      <c r="CG315" s="220"/>
      <c r="CH315" s="1258"/>
      <c r="CI315" s="1258"/>
      <c r="CJ315" s="220"/>
      <c r="CK315" s="1258"/>
      <c r="CL315" s="1258"/>
      <c r="CM315" s="218"/>
      <c r="CN315" s="1275"/>
    </row>
    <row r="316" spans="2:92" ht="22.5" customHeight="1" x14ac:dyDescent="0.2">
      <c r="B316" s="1227"/>
      <c r="C316" s="1231"/>
      <c r="D316" s="1215"/>
      <c r="E316" s="1234"/>
      <c r="F316" s="1210"/>
      <c r="G316" s="584" t="str">
        <f>+'Plan de Accion apoyo transversa'!X85</f>
        <v>Capacitación de Código de Integridad realizada</v>
      </c>
      <c r="H316" s="1349"/>
      <c r="J316" s="1352"/>
      <c r="K316" s="1199"/>
      <c r="L316" s="1199"/>
      <c r="M316" s="1199"/>
      <c r="N316" s="1199"/>
      <c r="O316" s="1193"/>
      <c r="P316" s="229"/>
      <c r="Q316" s="1355"/>
      <c r="R316" s="1199"/>
      <c r="S316" s="1199"/>
      <c r="T316" s="1199"/>
      <c r="U316" s="1199"/>
      <c r="V316" s="1193"/>
      <c r="W316" s="229"/>
      <c r="X316" s="1355"/>
      <c r="Y316" s="1199"/>
      <c r="Z316" s="1199">
        <f t="shared" si="278"/>
        <v>0</v>
      </c>
      <c r="AA316" s="1206"/>
      <c r="AB316" s="1206"/>
      <c r="AC316" s="1209"/>
      <c r="AD316" s="229"/>
      <c r="AE316" s="1355"/>
      <c r="AF316" s="1199"/>
      <c r="AG316" s="1199">
        <f t="shared" si="279"/>
        <v>0</v>
      </c>
      <c r="AH316" s="1199"/>
      <c r="AI316" s="1193"/>
      <c r="AJ316" s="1256"/>
      <c r="AL316" s="1272"/>
      <c r="AM316" s="1258"/>
      <c r="AN316" s="220"/>
      <c r="AO316" s="1269"/>
      <c r="AP316" s="1258"/>
      <c r="AQ316" s="220"/>
      <c r="AR316" s="1258"/>
      <c r="AS316" s="1258"/>
      <c r="AT316" s="220"/>
      <c r="AU316" s="1258"/>
      <c r="AV316" s="1258"/>
      <c r="AW316" s="218"/>
      <c r="AX316" s="1275"/>
      <c r="AZ316" s="1272"/>
      <c r="BA316" s="1258"/>
      <c r="BB316" s="220"/>
      <c r="BC316" s="1269"/>
      <c r="BD316" s="1258"/>
      <c r="BE316" s="220"/>
      <c r="BF316" s="1258"/>
      <c r="BG316" s="1258"/>
      <c r="BH316" s="220"/>
      <c r="BI316" s="1258"/>
      <c r="BJ316" s="1258"/>
      <c r="BK316" s="218"/>
      <c r="BL316" s="1275"/>
      <c r="BN316" s="1272"/>
      <c r="BO316" s="1258"/>
      <c r="BP316" s="220"/>
      <c r="BQ316" s="1269"/>
      <c r="BR316" s="1258"/>
      <c r="BS316" s="220"/>
      <c r="BT316" s="1258"/>
      <c r="BU316" s="1258"/>
      <c r="BV316" s="220"/>
      <c r="BW316" s="1258"/>
      <c r="BX316" s="1258"/>
      <c r="BY316" s="218"/>
      <c r="BZ316" s="1275"/>
      <c r="CB316" s="1272"/>
      <c r="CC316" s="1258"/>
      <c r="CD316" s="220"/>
      <c r="CE316" s="1269"/>
      <c r="CF316" s="1258"/>
      <c r="CG316" s="220"/>
      <c r="CH316" s="1258"/>
      <c r="CI316" s="1258"/>
      <c r="CJ316" s="220"/>
      <c r="CK316" s="1258"/>
      <c r="CL316" s="1258"/>
      <c r="CM316" s="218"/>
      <c r="CN316" s="1275"/>
    </row>
    <row r="317" spans="2:92" ht="22.5" customHeight="1" x14ac:dyDescent="0.2">
      <c r="B317" s="1227"/>
      <c r="C317" s="1231"/>
      <c r="D317" s="1215"/>
      <c r="E317" s="1234"/>
      <c r="F317" s="1210"/>
      <c r="G317" s="328" t="str">
        <f>+'Plan de Accion apoyo transversa'!X78</f>
        <v>Capacitación de Contratación estatal realizada</v>
      </c>
      <c r="H317" s="240" t="str">
        <f>+'Plan de Accion apoyo transversa'!AK78</f>
        <v xml:space="preserve"># Capacitaciones realizadas </v>
      </c>
      <c r="J317" s="234">
        <f>+'Plan de Accion apoyo transversa'!AT78</f>
        <v>0</v>
      </c>
      <c r="K317" s="503" t="str">
        <f>+'Plan de Accion apoyo transversa'!CE78</f>
        <v>No Prog ni Ejec</v>
      </c>
      <c r="L317" s="503" t="s">
        <v>204</v>
      </c>
      <c r="M317" s="503">
        <f>+'Plan de Accion apoyo transversa'!AX78</f>
        <v>0</v>
      </c>
      <c r="N317" s="503">
        <f t="shared" si="271"/>
        <v>0</v>
      </c>
      <c r="O317" s="505" t="s">
        <v>204</v>
      </c>
      <c r="P317" s="229"/>
      <c r="Q317" s="234">
        <f>+'Plan de Accion apoyo transversa'!BD78</f>
        <v>0</v>
      </c>
      <c r="R317" s="324" t="str">
        <f>+'Plan de Accion apoyo transversa'!CG78</f>
        <v>No Prog ni Ejec</v>
      </c>
      <c r="S317" s="266" t="s">
        <v>204</v>
      </c>
      <c r="T317" s="324">
        <f>+'Plan de Accion apoyo transversa'!BH78</f>
        <v>0</v>
      </c>
      <c r="U317" s="324">
        <f t="shared" si="274"/>
        <v>0</v>
      </c>
      <c r="V317" s="227" t="s">
        <v>204</v>
      </c>
      <c r="W317" s="229"/>
      <c r="X317" s="234">
        <f>+'Plan de Accion apoyo transversa'!BN78</f>
        <v>0</v>
      </c>
      <c r="Y317" s="324">
        <f>+'Plan de Accion apoyo transversa'!CI78</f>
        <v>0</v>
      </c>
      <c r="Z317" s="228">
        <f>IF(Y317&gt;100%,100%,Y317)</f>
        <v>0</v>
      </c>
      <c r="AA317" s="233">
        <f>+'Plan de Accion apoyo transversa'!BR78</f>
        <v>0</v>
      </c>
      <c r="AB317" s="233">
        <f t="shared" si="275"/>
        <v>0</v>
      </c>
      <c r="AC317" s="232">
        <f t="shared" si="276"/>
        <v>0</v>
      </c>
      <c r="AD317" s="229"/>
      <c r="AE317" s="234">
        <f>+'Plan de Accion apoyo transversa'!BX78</f>
        <v>0</v>
      </c>
      <c r="AF317" s="324" t="str">
        <f>+'Plan de Accion apoyo transversa'!CK78</f>
        <v>No Prog ni Ejec</v>
      </c>
      <c r="AG317" s="228" t="s">
        <v>204</v>
      </c>
      <c r="AH317" s="324">
        <f>+'Plan de Accion apoyo transversa'!CB78</f>
        <v>0</v>
      </c>
      <c r="AI317" s="227">
        <f t="shared" si="277"/>
        <v>0</v>
      </c>
      <c r="AJ317" s="1256"/>
      <c r="AL317" s="1272"/>
      <c r="AM317" s="1258"/>
      <c r="AN317" s="220"/>
      <c r="AO317" s="1269"/>
      <c r="AP317" s="1258"/>
      <c r="AQ317" s="220"/>
      <c r="AR317" s="1258"/>
      <c r="AS317" s="1258"/>
      <c r="AT317" s="220"/>
      <c r="AU317" s="1258"/>
      <c r="AV317" s="1258"/>
      <c r="AW317" s="218"/>
      <c r="AX317" s="1275"/>
      <c r="AZ317" s="1272"/>
      <c r="BA317" s="1258"/>
      <c r="BB317" s="220"/>
      <c r="BC317" s="1269"/>
      <c r="BD317" s="1258"/>
      <c r="BE317" s="220"/>
      <c r="BF317" s="1258"/>
      <c r="BG317" s="1258"/>
      <c r="BH317" s="220"/>
      <c r="BI317" s="1258"/>
      <c r="BJ317" s="1258"/>
      <c r="BK317" s="218"/>
      <c r="BL317" s="1275"/>
      <c r="BN317" s="1272"/>
      <c r="BO317" s="1258"/>
      <c r="BP317" s="220"/>
      <c r="BQ317" s="1269"/>
      <c r="BR317" s="1258"/>
      <c r="BS317" s="220"/>
      <c r="BT317" s="1258"/>
      <c r="BU317" s="1258"/>
      <c r="BV317" s="220"/>
      <c r="BW317" s="1258"/>
      <c r="BX317" s="1258"/>
      <c r="BY317" s="218"/>
      <c r="BZ317" s="1275"/>
      <c r="CB317" s="1272"/>
      <c r="CC317" s="1258"/>
      <c r="CD317" s="220"/>
      <c r="CE317" s="1269"/>
      <c r="CF317" s="1258"/>
      <c r="CG317" s="220"/>
      <c r="CH317" s="1258"/>
      <c r="CI317" s="1258"/>
      <c r="CJ317" s="220"/>
      <c r="CK317" s="1258"/>
      <c r="CL317" s="1258"/>
      <c r="CM317" s="218"/>
      <c r="CN317" s="1275"/>
    </row>
    <row r="318" spans="2:92" ht="22.5" customHeight="1" x14ac:dyDescent="0.2">
      <c r="B318" s="1227"/>
      <c r="C318" s="1231"/>
      <c r="D318" s="1215"/>
      <c r="E318" s="1234"/>
      <c r="F318" s="1210"/>
      <c r="G318" s="328" t="str">
        <f>+'Plan de Accion apoyo transversa'!X79</f>
        <v>Capacitación de Salud publica realizada</v>
      </c>
      <c r="H318" s="240" t="str">
        <f>+'Plan de Accion apoyo transversa'!AK79</f>
        <v xml:space="preserve"># Capacitaciones realizadas </v>
      </c>
      <c r="J318" s="234">
        <f>+'Plan de Accion apoyo transversa'!AT79</f>
        <v>0</v>
      </c>
      <c r="K318" s="503" t="str">
        <f>+'Plan de Accion apoyo transversa'!CE79</f>
        <v>No Prog ni Ejec</v>
      </c>
      <c r="L318" s="503" t="s">
        <v>204</v>
      </c>
      <c r="M318" s="503">
        <f>+'Plan de Accion apoyo transversa'!AX79</f>
        <v>0</v>
      </c>
      <c r="N318" s="503">
        <f t="shared" si="271"/>
        <v>0</v>
      </c>
      <c r="O318" s="505" t="s">
        <v>204</v>
      </c>
      <c r="P318" s="229"/>
      <c r="Q318" s="234">
        <f>+'Plan de Accion apoyo transversa'!BD79</f>
        <v>0</v>
      </c>
      <c r="R318" s="324" t="str">
        <f>+'Plan de Accion apoyo transversa'!CG79</f>
        <v>No Prog ni Ejec</v>
      </c>
      <c r="S318" s="266" t="s">
        <v>204</v>
      </c>
      <c r="T318" s="324">
        <f>+'Plan de Accion apoyo transversa'!BH79</f>
        <v>0</v>
      </c>
      <c r="U318" s="324">
        <f t="shared" si="274"/>
        <v>0</v>
      </c>
      <c r="V318" s="227" t="s">
        <v>204</v>
      </c>
      <c r="W318" s="229"/>
      <c r="X318" s="234">
        <f>+'Plan de Accion apoyo transversa'!BN79</f>
        <v>0</v>
      </c>
      <c r="Y318" s="324" t="str">
        <f>+'Plan de Accion apoyo transversa'!CI79</f>
        <v>No Prog ni Ejec</v>
      </c>
      <c r="Z318" s="228" t="s">
        <v>204</v>
      </c>
      <c r="AA318" s="233">
        <f>+'Plan de Accion apoyo transversa'!BR79</f>
        <v>0</v>
      </c>
      <c r="AB318" s="233">
        <f t="shared" si="275"/>
        <v>0</v>
      </c>
      <c r="AC318" s="232" t="s">
        <v>204</v>
      </c>
      <c r="AD318" s="229"/>
      <c r="AE318" s="234">
        <f>+'Plan de Accion apoyo transversa'!BX79</f>
        <v>0</v>
      </c>
      <c r="AF318" s="324">
        <f>+'Plan de Accion apoyo transversa'!CK79</f>
        <v>0</v>
      </c>
      <c r="AG318" s="228">
        <f>IF(AF318&gt;100%,100%,AF318)</f>
        <v>0</v>
      </c>
      <c r="AH318" s="324">
        <f>+'Plan de Accion apoyo transversa'!CB79</f>
        <v>0</v>
      </c>
      <c r="AI318" s="227">
        <f t="shared" si="277"/>
        <v>0</v>
      </c>
      <c r="AJ318" s="1256"/>
      <c r="AL318" s="1272"/>
      <c r="AM318" s="1258"/>
      <c r="AN318" s="220"/>
      <c r="AO318" s="1269"/>
      <c r="AP318" s="1258"/>
      <c r="AQ318" s="220"/>
      <c r="AR318" s="1258"/>
      <c r="AS318" s="1258"/>
      <c r="AT318" s="220"/>
      <c r="AU318" s="1258"/>
      <c r="AV318" s="1258"/>
      <c r="AW318" s="218"/>
      <c r="AX318" s="1275"/>
      <c r="AZ318" s="1272"/>
      <c r="BA318" s="1258"/>
      <c r="BB318" s="220"/>
      <c r="BC318" s="1269"/>
      <c r="BD318" s="1258"/>
      <c r="BE318" s="220"/>
      <c r="BF318" s="1258"/>
      <c r="BG318" s="1258"/>
      <c r="BH318" s="220"/>
      <c r="BI318" s="1258"/>
      <c r="BJ318" s="1258"/>
      <c r="BK318" s="218"/>
      <c r="BL318" s="1275"/>
      <c r="BN318" s="1272"/>
      <c r="BO318" s="1258"/>
      <c r="BP318" s="220"/>
      <c r="BQ318" s="1269"/>
      <c r="BR318" s="1258"/>
      <c r="BS318" s="220"/>
      <c r="BT318" s="1258"/>
      <c r="BU318" s="1258"/>
      <c r="BV318" s="220"/>
      <c r="BW318" s="1258"/>
      <c r="BX318" s="1258"/>
      <c r="BY318" s="218"/>
      <c r="BZ318" s="1275"/>
      <c r="CB318" s="1272"/>
      <c r="CC318" s="1258"/>
      <c r="CD318" s="220"/>
      <c r="CE318" s="1269"/>
      <c r="CF318" s="1258"/>
      <c r="CG318" s="220"/>
      <c r="CH318" s="1258"/>
      <c r="CI318" s="1258"/>
      <c r="CJ318" s="220"/>
      <c r="CK318" s="1258"/>
      <c r="CL318" s="1258"/>
      <c r="CM318" s="218"/>
      <c r="CN318" s="1275"/>
    </row>
    <row r="319" spans="2:92" ht="22.5" customHeight="1" x14ac:dyDescent="0.2">
      <c r="B319" s="1227"/>
      <c r="C319" s="1231"/>
      <c r="D319" s="1215"/>
      <c r="E319" s="1234"/>
      <c r="F319" s="1210"/>
      <c r="G319" s="328" t="str">
        <f>+'Plan de Accion apoyo transversa'!X86</f>
        <v>Capacitación de Sostenibilidad ambiental realizada.</v>
      </c>
      <c r="H319" s="240" t="str">
        <f>+'Plan de Accion apoyo transversa'!AK86</f>
        <v xml:space="preserve"># Capacitaciones realizadas </v>
      </c>
      <c r="J319" s="234">
        <f>+'Plan de Accion apoyo transversa'!AT86</f>
        <v>0</v>
      </c>
      <c r="K319" s="503" t="str">
        <f>+'Plan de Accion apoyo transversa'!CE86</f>
        <v>No Prog ni Ejec</v>
      </c>
      <c r="L319" s="503" t="s">
        <v>204</v>
      </c>
      <c r="M319" s="503">
        <f>+'Plan de Accion apoyo transversa'!AX86</f>
        <v>0</v>
      </c>
      <c r="N319" s="503">
        <f t="shared" si="271"/>
        <v>0</v>
      </c>
      <c r="O319" s="505" t="s">
        <v>204</v>
      </c>
      <c r="P319" s="229"/>
      <c r="Q319" s="234">
        <f>+'Plan de Accion apoyo transversa'!BD86</f>
        <v>0</v>
      </c>
      <c r="R319" s="324" t="str">
        <f>+'Plan de Accion apoyo transversa'!CG86</f>
        <v>No Prog ni Ejec</v>
      </c>
      <c r="S319" s="266" t="s">
        <v>204</v>
      </c>
      <c r="T319" s="324">
        <f>+'Plan de Accion apoyo transversa'!BH86</f>
        <v>0</v>
      </c>
      <c r="U319" s="324">
        <f t="shared" si="274"/>
        <v>0</v>
      </c>
      <c r="V319" s="227" t="s">
        <v>204</v>
      </c>
      <c r="W319" s="229"/>
      <c r="X319" s="234">
        <f>+'Plan de Accion apoyo transversa'!BN86</f>
        <v>0</v>
      </c>
      <c r="Y319" s="324">
        <f>+'Plan de Accion apoyo transversa'!CI86</f>
        <v>0</v>
      </c>
      <c r="Z319" s="228">
        <f>IF(Y319&gt;100%,100%,Y319)</f>
        <v>0</v>
      </c>
      <c r="AA319" s="233">
        <f>+'Plan de Accion apoyo transversa'!BR86</f>
        <v>0</v>
      </c>
      <c r="AB319" s="233">
        <f t="shared" si="275"/>
        <v>0</v>
      </c>
      <c r="AC319" s="232">
        <f t="shared" si="276"/>
        <v>0</v>
      </c>
      <c r="AD319" s="229"/>
      <c r="AE319" s="234">
        <f>+'Plan de Accion apoyo transversa'!BX86</f>
        <v>0</v>
      </c>
      <c r="AF319" s="324" t="str">
        <f>+'Plan de Accion apoyo transversa'!CK86</f>
        <v>No Prog ni Ejec</v>
      </c>
      <c r="AG319" s="228" t="s">
        <v>204</v>
      </c>
      <c r="AH319" s="324">
        <f>+'Plan de Accion apoyo transversa'!CB86</f>
        <v>0</v>
      </c>
      <c r="AI319" s="227">
        <f t="shared" si="277"/>
        <v>0</v>
      </c>
      <c r="AJ319" s="1256"/>
      <c r="AL319" s="1272"/>
      <c r="AM319" s="1258"/>
      <c r="AN319" s="220"/>
      <c r="AO319" s="1269"/>
      <c r="AP319" s="1258"/>
      <c r="AQ319" s="220"/>
      <c r="AR319" s="1258"/>
      <c r="AS319" s="1258"/>
      <c r="AT319" s="220"/>
      <c r="AU319" s="1258"/>
      <c r="AV319" s="1258"/>
      <c r="AW319" s="218"/>
      <c r="AX319" s="1275"/>
      <c r="AZ319" s="1272"/>
      <c r="BA319" s="1258"/>
      <c r="BB319" s="220"/>
      <c r="BC319" s="1269"/>
      <c r="BD319" s="1258"/>
      <c r="BE319" s="220"/>
      <c r="BF319" s="1258"/>
      <c r="BG319" s="1258"/>
      <c r="BH319" s="220"/>
      <c r="BI319" s="1258"/>
      <c r="BJ319" s="1258"/>
      <c r="BK319" s="218"/>
      <c r="BL319" s="1275"/>
      <c r="BN319" s="1272"/>
      <c r="BO319" s="1258"/>
      <c r="BP319" s="220"/>
      <c r="BQ319" s="1269"/>
      <c r="BR319" s="1258"/>
      <c r="BS319" s="220"/>
      <c r="BT319" s="1258"/>
      <c r="BU319" s="1258"/>
      <c r="BV319" s="220"/>
      <c r="BW319" s="1258"/>
      <c r="BX319" s="1258"/>
      <c r="BY319" s="218"/>
      <c r="BZ319" s="1275"/>
      <c r="CB319" s="1272"/>
      <c r="CC319" s="1258"/>
      <c r="CD319" s="220"/>
      <c r="CE319" s="1269"/>
      <c r="CF319" s="1258"/>
      <c r="CG319" s="220"/>
      <c r="CH319" s="1258"/>
      <c r="CI319" s="1258"/>
      <c r="CJ319" s="220"/>
      <c r="CK319" s="1258"/>
      <c r="CL319" s="1258"/>
      <c r="CM319" s="218"/>
      <c r="CN319" s="1275"/>
    </row>
    <row r="320" spans="2:92" ht="22.5" customHeight="1" x14ac:dyDescent="0.2">
      <c r="B320" s="1227"/>
      <c r="C320" s="1231"/>
      <c r="D320" s="1215"/>
      <c r="E320" s="1234"/>
      <c r="F320" s="1210"/>
      <c r="G320" s="328" t="str">
        <f>+'Plan de Accion apoyo transversa'!X87</f>
        <v>Capacitación Buen gobierno realizada</v>
      </c>
      <c r="H320" s="240" t="str">
        <f>+'Plan de Accion apoyo transversa'!AK87</f>
        <v xml:space="preserve"># Capacitaciones realizadas </v>
      </c>
      <c r="J320" s="234">
        <f>+'Plan de Accion apoyo transversa'!AT87</f>
        <v>0</v>
      </c>
      <c r="K320" s="503" t="str">
        <f>+'Plan de Accion apoyo transversa'!CE87</f>
        <v>No Prog ni Ejec</v>
      </c>
      <c r="L320" s="503" t="s">
        <v>204</v>
      </c>
      <c r="M320" s="503">
        <f>+'Plan de Accion apoyo transversa'!AX87</f>
        <v>0</v>
      </c>
      <c r="N320" s="503">
        <f t="shared" si="271"/>
        <v>0</v>
      </c>
      <c r="O320" s="505" t="s">
        <v>204</v>
      </c>
      <c r="P320" s="229"/>
      <c r="Q320" s="234">
        <f>+'Plan de Accion apoyo transversa'!BD87</f>
        <v>0</v>
      </c>
      <c r="R320" s="324">
        <f>+'Plan de Accion apoyo transversa'!CG87</f>
        <v>0</v>
      </c>
      <c r="S320" s="266">
        <f>IF(R320&gt;100%,100%,R320)</f>
        <v>0</v>
      </c>
      <c r="T320" s="324">
        <f>+'Plan de Accion apoyo transversa'!BH87</f>
        <v>0</v>
      </c>
      <c r="U320" s="324">
        <f t="shared" si="274"/>
        <v>0</v>
      </c>
      <c r="V320" s="227">
        <f>+U320</f>
        <v>0</v>
      </c>
      <c r="W320" s="229"/>
      <c r="X320" s="234">
        <f>+'Plan de Accion apoyo transversa'!BN87</f>
        <v>0</v>
      </c>
      <c r="Y320" s="324" t="str">
        <f>+'Plan de Accion apoyo transversa'!CI87</f>
        <v>No Prog ni Ejec</v>
      </c>
      <c r="Z320" s="228" t="s">
        <v>204</v>
      </c>
      <c r="AA320" s="233">
        <f>+'Plan de Accion apoyo transversa'!BR87</f>
        <v>0</v>
      </c>
      <c r="AB320" s="233">
        <f t="shared" si="275"/>
        <v>0</v>
      </c>
      <c r="AC320" s="232">
        <f t="shared" si="276"/>
        <v>0</v>
      </c>
      <c r="AD320" s="229"/>
      <c r="AE320" s="234">
        <f>+'Plan de Accion apoyo transversa'!BX87</f>
        <v>0</v>
      </c>
      <c r="AF320" s="324" t="str">
        <f>+'Plan de Accion apoyo transversa'!CK87</f>
        <v>No Prog ni Ejec</v>
      </c>
      <c r="AG320" s="228" t="s">
        <v>204</v>
      </c>
      <c r="AH320" s="324">
        <f>+'Plan de Accion apoyo transversa'!CB87</f>
        <v>0</v>
      </c>
      <c r="AI320" s="227">
        <f t="shared" si="277"/>
        <v>0</v>
      </c>
      <c r="AJ320" s="1256"/>
      <c r="AL320" s="1272"/>
      <c r="AM320" s="1258"/>
      <c r="AN320" s="220"/>
      <c r="AO320" s="1269"/>
      <c r="AP320" s="1258"/>
      <c r="AQ320" s="220"/>
      <c r="AR320" s="1258"/>
      <c r="AS320" s="1258"/>
      <c r="AT320" s="220"/>
      <c r="AU320" s="1258"/>
      <c r="AV320" s="1258"/>
      <c r="AW320" s="218"/>
      <c r="AX320" s="1275"/>
      <c r="AZ320" s="1272"/>
      <c r="BA320" s="1258"/>
      <c r="BB320" s="220"/>
      <c r="BC320" s="1269"/>
      <c r="BD320" s="1258"/>
      <c r="BE320" s="220"/>
      <c r="BF320" s="1258"/>
      <c r="BG320" s="1258"/>
      <c r="BH320" s="220"/>
      <c r="BI320" s="1258"/>
      <c r="BJ320" s="1258"/>
      <c r="BK320" s="218"/>
      <c r="BL320" s="1275"/>
      <c r="BN320" s="1272"/>
      <c r="BO320" s="1258"/>
      <c r="BP320" s="220"/>
      <c r="BQ320" s="1269"/>
      <c r="BR320" s="1258"/>
      <c r="BS320" s="220"/>
      <c r="BT320" s="1258"/>
      <c r="BU320" s="1258"/>
      <c r="BV320" s="220"/>
      <c r="BW320" s="1258"/>
      <c r="BX320" s="1258"/>
      <c r="BY320" s="218"/>
      <c r="BZ320" s="1275"/>
      <c r="CB320" s="1272"/>
      <c r="CC320" s="1258"/>
      <c r="CD320" s="220"/>
      <c r="CE320" s="1269"/>
      <c r="CF320" s="1258"/>
      <c r="CG320" s="220"/>
      <c r="CH320" s="1258"/>
      <c r="CI320" s="1258"/>
      <c r="CJ320" s="220"/>
      <c r="CK320" s="1258"/>
      <c r="CL320" s="1258"/>
      <c r="CM320" s="218"/>
      <c r="CN320" s="1275"/>
    </row>
    <row r="321" spans="2:92" ht="22.5" customHeight="1" x14ac:dyDescent="0.2">
      <c r="B321" s="1227"/>
      <c r="C321" s="1231"/>
      <c r="D321" s="1215"/>
      <c r="E321" s="1234"/>
      <c r="F321" s="1210"/>
      <c r="G321" s="328" t="str">
        <f>+'Plan de Accion apoyo transversa'!X88</f>
        <v>Capacitación de Gestión documental realizada.</v>
      </c>
      <c r="H321" s="240" t="str">
        <f>+'Plan de Accion apoyo transversa'!AK88</f>
        <v xml:space="preserve"># Capacitaciones realizadas </v>
      </c>
      <c r="J321" s="234">
        <f>+'Plan de Accion apoyo transversa'!AT88</f>
        <v>0</v>
      </c>
      <c r="K321" s="503" t="str">
        <f>+'Plan de Accion apoyo transversa'!CE88</f>
        <v>No Prog ni Ejec</v>
      </c>
      <c r="L321" s="503" t="s">
        <v>204</v>
      </c>
      <c r="M321" s="503">
        <f>+'Plan de Accion apoyo transversa'!AX88</f>
        <v>0</v>
      </c>
      <c r="N321" s="503">
        <f t="shared" si="271"/>
        <v>0</v>
      </c>
      <c r="O321" s="505" t="s">
        <v>204</v>
      </c>
      <c r="P321" s="229"/>
      <c r="Q321" s="234">
        <f>+'Plan de Accion apoyo transversa'!BD88</f>
        <v>0</v>
      </c>
      <c r="R321" s="324" t="str">
        <f>+'Plan de Accion apoyo transversa'!CG88</f>
        <v>No Prog ni Ejec</v>
      </c>
      <c r="S321" s="266" t="s">
        <v>204</v>
      </c>
      <c r="T321" s="324">
        <f>+'Plan de Accion apoyo transversa'!BH88</f>
        <v>0</v>
      </c>
      <c r="U321" s="324">
        <f t="shared" si="274"/>
        <v>0</v>
      </c>
      <c r="V321" s="227" t="s">
        <v>204</v>
      </c>
      <c r="W321" s="229"/>
      <c r="X321" s="234">
        <f>+'Plan de Accion apoyo transversa'!BN88</f>
        <v>0</v>
      </c>
      <c r="Y321" s="324">
        <f>+'Plan de Accion apoyo transversa'!CI88</f>
        <v>0</v>
      </c>
      <c r="Z321" s="228">
        <f>IF(Y321&gt;100%,100%,Y321)</f>
        <v>0</v>
      </c>
      <c r="AA321" s="233">
        <f>+'Plan de Accion apoyo transversa'!BR88</f>
        <v>0</v>
      </c>
      <c r="AB321" s="233">
        <f t="shared" si="275"/>
        <v>0</v>
      </c>
      <c r="AC321" s="232">
        <f t="shared" si="276"/>
        <v>0</v>
      </c>
      <c r="AD321" s="229"/>
      <c r="AE321" s="234">
        <f>+'Plan de Accion apoyo transversa'!BX88</f>
        <v>0</v>
      </c>
      <c r="AF321" s="324" t="str">
        <f>+'Plan de Accion apoyo transversa'!CK88</f>
        <v>No Prog ni Ejec</v>
      </c>
      <c r="AG321" s="228" t="s">
        <v>204</v>
      </c>
      <c r="AH321" s="324">
        <f>+'Plan de Accion apoyo transversa'!CB88</f>
        <v>0</v>
      </c>
      <c r="AI321" s="227">
        <f t="shared" si="277"/>
        <v>0</v>
      </c>
      <c r="AJ321" s="1256"/>
      <c r="AL321" s="1272"/>
      <c r="AM321" s="1258"/>
      <c r="AN321" s="220"/>
      <c r="AO321" s="1269"/>
      <c r="AP321" s="1258"/>
      <c r="AQ321" s="220"/>
      <c r="AR321" s="1258"/>
      <c r="AS321" s="1258"/>
      <c r="AT321" s="220"/>
      <c r="AU321" s="1258"/>
      <c r="AV321" s="1258"/>
      <c r="AW321" s="218"/>
      <c r="AX321" s="1275"/>
      <c r="AZ321" s="1272"/>
      <c r="BA321" s="1258"/>
      <c r="BB321" s="220"/>
      <c r="BC321" s="1269"/>
      <c r="BD321" s="1258"/>
      <c r="BE321" s="220"/>
      <c r="BF321" s="1258"/>
      <c r="BG321" s="1258"/>
      <c r="BH321" s="220"/>
      <c r="BI321" s="1258"/>
      <c r="BJ321" s="1258"/>
      <c r="BK321" s="218"/>
      <c r="BL321" s="1275"/>
      <c r="BN321" s="1272"/>
      <c r="BO321" s="1258"/>
      <c r="BP321" s="220"/>
      <c r="BQ321" s="1269"/>
      <c r="BR321" s="1258"/>
      <c r="BS321" s="220"/>
      <c r="BT321" s="1258"/>
      <c r="BU321" s="1258"/>
      <c r="BV321" s="220"/>
      <c r="BW321" s="1258"/>
      <c r="BX321" s="1258"/>
      <c r="BY321" s="218"/>
      <c r="BZ321" s="1275"/>
      <c r="CB321" s="1272"/>
      <c r="CC321" s="1258"/>
      <c r="CD321" s="220"/>
      <c r="CE321" s="1269"/>
      <c r="CF321" s="1258"/>
      <c r="CG321" s="220"/>
      <c r="CH321" s="1258"/>
      <c r="CI321" s="1258"/>
      <c r="CJ321" s="220"/>
      <c r="CK321" s="1258"/>
      <c r="CL321" s="1258"/>
      <c r="CM321" s="218"/>
      <c r="CN321" s="1275"/>
    </row>
    <row r="322" spans="2:92" ht="22.5" customHeight="1" x14ac:dyDescent="0.2">
      <c r="B322" s="1227"/>
      <c r="C322" s="1231"/>
      <c r="D322" s="1215"/>
      <c r="E322" s="1234"/>
      <c r="F322" s="1210"/>
      <c r="G322" s="328" t="str">
        <f>+'Plan de Accion apoyo transversa'!X89</f>
        <v>Capacitación de Bilingüismo realizada</v>
      </c>
      <c r="H322" s="240" t="str">
        <f>+'Plan de Accion apoyo transversa'!AK89</f>
        <v xml:space="preserve"># Capacitaciones realizadas </v>
      </c>
      <c r="J322" s="234">
        <f>+'Plan de Accion apoyo transversa'!AT89</f>
        <v>0</v>
      </c>
      <c r="K322" s="503" t="str">
        <f>+'Plan de Accion apoyo transversa'!CE89</f>
        <v>No Prog ni Ejec</v>
      </c>
      <c r="L322" s="503" t="s">
        <v>204</v>
      </c>
      <c r="M322" s="503">
        <f>+'Plan de Accion apoyo transversa'!AX89</f>
        <v>0</v>
      </c>
      <c r="N322" s="503">
        <f t="shared" si="271"/>
        <v>0</v>
      </c>
      <c r="O322" s="505" t="s">
        <v>204</v>
      </c>
      <c r="P322" s="229"/>
      <c r="Q322" s="234">
        <f>+'Plan de Accion apoyo transversa'!BD89</f>
        <v>0</v>
      </c>
      <c r="R322" s="324" t="str">
        <f>+'Plan de Accion apoyo transversa'!CG89</f>
        <v>No Prog ni Ejec</v>
      </c>
      <c r="S322" s="266" t="s">
        <v>204</v>
      </c>
      <c r="T322" s="324">
        <f>+'Plan de Accion apoyo transversa'!BH89</f>
        <v>0</v>
      </c>
      <c r="U322" s="324">
        <f t="shared" si="274"/>
        <v>0</v>
      </c>
      <c r="V322" s="227" t="s">
        <v>204</v>
      </c>
      <c r="W322" s="229"/>
      <c r="X322" s="234">
        <f>+'Plan de Accion apoyo transversa'!BN89</f>
        <v>0</v>
      </c>
      <c r="Y322" s="324" t="str">
        <f>+'Plan de Accion apoyo transversa'!CI89</f>
        <v>No Prog ni Ejec</v>
      </c>
      <c r="Z322" s="228" t="s">
        <v>204</v>
      </c>
      <c r="AA322" s="233">
        <f>+'Plan de Accion apoyo transversa'!BR89</f>
        <v>0</v>
      </c>
      <c r="AB322" s="233">
        <f t="shared" si="275"/>
        <v>0</v>
      </c>
      <c r="AC322" s="232" t="s">
        <v>204</v>
      </c>
      <c r="AD322" s="229"/>
      <c r="AE322" s="234">
        <f>+'Plan de Accion apoyo transversa'!BX89</f>
        <v>0</v>
      </c>
      <c r="AF322" s="324">
        <f>+'Plan de Accion apoyo transversa'!CK89</f>
        <v>0</v>
      </c>
      <c r="AG322" s="228">
        <f>IF(AF322&gt;100%,100%,AF322)</f>
        <v>0</v>
      </c>
      <c r="AH322" s="324">
        <f>+'Plan de Accion apoyo transversa'!CB89</f>
        <v>0</v>
      </c>
      <c r="AI322" s="227">
        <f t="shared" si="277"/>
        <v>0</v>
      </c>
      <c r="AJ322" s="1256"/>
      <c r="AL322" s="1272"/>
      <c r="AM322" s="1258"/>
      <c r="AN322" s="220"/>
      <c r="AO322" s="1269"/>
      <c r="AP322" s="1258"/>
      <c r="AQ322" s="220"/>
      <c r="AR322" s="1258"/>
      <c r="AS322" s="1258"/>
      <c r="AT322" s="220"/>
      <c r="AU322" s="1258"/>
      <c r="AV322" s="1258"/>
      <c r="AW322" s="218"/>
      <c r="AX322" s="1275"/>
      <c r="AZ322" s="1272"/>
      <c r="BA322" s="1258"/>
      <c r="BB322" s="220"/>
      <c r="BC322" s="1269"/>
      <c r="BD322" s="1258"/>
      <c r="BE322" s="220"/>
      <c r="BF322" s="1258"/>
      <c r="BG322" s="1258"/>
      <c r="BH322" s="220"/>
      <c r="BI322" s="1258"/>
      <c r="BJ322" s="1258"/>
      <c r="BK322" s="218"/>
      <c r="BL322" s="1275"/>
      <c r="BN322" s="1272"/>
      <c r="BO322" s="1258"/>
      <c r="BP322" s="220"/>
      <c r="BQ322" s="1269"/>
      <c r="BR322" s="1258"/>
      <c r="BS322" s="220"/>
      <c r="BT322" s="1258"/>
      <c r="BU322" s="1258"/>
      <c r="BV322" s="220"/>
      <c r="BW322" s="1258"/>
      <c r="BX322" s="1258"/>
      <c r="BY322" s="218"/>
      <c r="BZ322" s="1275"/>
      <c r="CB322" s="1272"/>
      <c r="CC322" s="1258"/>
      <c r="CD322" s="220"/>
      <c r="CE322" s="1269"/>
      <c r="CF322" s="1258"/>
      <c r="CG322" s="220"/>
      <c r="CH322" s="1258"/>
      <c r="CI322" s="1258"/>
      <c r="CJ322" s="220"/>
      <c r="CK322" s="1258"/>
      <c r="CL322" s="1258"/>
      <c r="CM322" s="218"/>
      <c r="CN322" s="1275"/>
    </row>
    <row r="323" spans="2:92" ht="22.5" customHeight="1" x14ac:dyDescent="0.2">
      <c r="B323" s="1227"/>
      <c r="C323" s="1231"/>
      <c r="D323" s="1215"/>
      <c r="E323" s="1234"/>
      <c r="F323" s="1210"/>
      <c r="G323" s="328" t="str">
        <f>+'Plan de Accion apoyo transversa'!X90</f>
        <v>Capacitación de Acceso a la información realizada</v>
      </c>
      <c r="H323" s="240" t="str">
        <f>+'Plan de Accion apoyo transversa'!AK90</f>
        <v xml:space="preserve"># Capacitaciones realizadas </v>
      </c>
      <c r="J323" s="234">
        <f>+'Plan de Accion apoyo transversa'!AT90</f>
        <v>0</v>
      </c>
      <c r="K323" s="503" t="str">
        <f>+'Plan de Accion apoyo transversa'!CE90</f>
        <v>No Prog ni Ejec</v>
      </c>
      <c r="L323" s="503" t="s">
        <v>204</v>
      </c>
      <c r="M323" s="503">
        <f>+'Plan de Accion apoyo transversa'!AX90</f>
        <v>0</v>
      </c>
      <c r="N323" s="503">
        <f t="shared" si="271"/>
        <v>0</v>
      </c>
      <c r="O323" s="505" t="s">
        <v>204</v>
      </c>
      <c r="P323" s="229"/>
      <c r="Q323" s="234">
        <f>+'Plan de Accion apoyo transversa'!BD90</f>
        <v>0</v>
      </c>
      <c r="R323" s="324" t="str">
        <f>+'Plan de Accion apoyo transversa'!CG90</f>
        <v>No Prog ni Ejec</v>
      </c>
      <c r="S323" s="266" t="s">
        <v>204</v>
      </c>
      <c r="T323" s="324">
        <f>+'Plan de Accion apoyo transversa'!BH90</f>
        <v>0</v>
      </c>
      <c r="U323" s="324">
        <f t="shared" si="274"/>
        <v>0</v>
      </c>
      <c r="V323" s="227" t="s">
        <v>204</v>
      </c>
      <c r="W323" s="229"/>
      <c r="X323" s="234">
        <f>+'Plan de Accion apoyo transversa'!BN90</f>
        <v>0</v>
      </c>
      <c r="Y323" s="324" t="str">
        <f>+'Plan de Accion apoyo transversa'!CI90</f>
        <v>No Prog ni Ejec</v>
      </c>
      <c r="Z323" s="228" t="s">
        <v>204</v>
      </c>
      <c r="AA323" s="233">
        <f>+'Plan de Accion apoyo transversa'!BR90</f>
        <v>0</v>
      </c>
      <c r="AB323" s="233">
        <f t="shared" si="275"/>
        <v>0</v>
      </c>
      <c r="AC323" s="232" t="s">
        <v>204</v>
      </c>
      <c r="AD323" s="229"/>
      <c r="AE323" s="234">
        <f>+'Plan de Accion apoyo transversa'!BX90</f>
        <v>0</v>
      </c>
      <c r="AF323" s="324">
        <f>+'Plan de Accion apoyo transversa'!CK90</f>
        <v>0</v>
      </c>
      <c r="AG323" s="228">
        <f>IF(AF323&gt;100%,100%,AF323)</f>
        <v>0</v>
      </c>
      <c r="AH323" s="324">
        <f>+'Plan de Accion apoyo transversa'!CB90</f>
        <v>0</v>
      </c>
      <c r="AI323" s="227">
        <f t="shared" si="277"/>
        <v>0</v>
      </c>
      <c r="AJ323" s="1256"/>
      <c r="AL323" s="1272"/>
      <c r="AM323" s="1258"/>
      <c r="AN323" s="220"/>
      <c r="AO323" s="1269"/>
      <c r="AP323" s="1258"/>
      <c r="AQ323" s="220"/>
      <c r="AR323" s="1258"/>
      <c r="AS323" s="1258"/>
      <c r="AT323" s="220"/>
      <c r="AU323" s="1258"/>
      <c r="AV323" s="1258"/>
      <c r="AW323" s="218"/>
      <c r="AX323" s="1275"/>
      <c r="AZ323" s="1272"/>
      <c r="BA323" s="1258"/>
      <c r="BB323" s="220"/>
      <c r="BC323" s="1269"/>
      <c r="BD323" s="1258"/>
      <c r="BE323" s="220"/>
      <c r="BF323" s="1258"/>
      <c r="BG323" s="1258"/>
      <c r="BH323" s="220"/>
      <c r="BI323" s="1258"/>
      <c r="BJ323" s="1258"/>
      <c r="BK323" s="218"/>
      <c r="BL323" s="1275"/>
      <c r="BN323" s="1272"/>
      <c r="BO323" s="1258"/>
      <c r="BP323" s="220"/>
      <c r="BQ323" s="1269"/>
      <c r="BR323" s="1258"/>
      <c r="BS323" s="220"/>
      <c r="BT323" s="1258"/>
      <c r="BU323" s="1258"/>
      <c r="BV323" s="220"/>
      <c r="BW323" s="1258"/>
      <c r="BX323" s="1258"/>
      <c r="BY323" s="218"/>
      <c r="BZ323" s="1275"/>
      <c r="CB323" s="1272"/>
      <c r="CC323" s="1258"/>
      <c r="CD323" s="220"/>
      <c r="CE323" s="1269"/>
      <c r="CF323" s="1258"/>
      <c r="CG323" s="220"/>
      <c r="CH323" s="1258"/>
      <c r="CI323" s="1258"/>
      <c r="CJ323" s="220"/>
      <c r="CK323" s="1258"/>
      <c r="CL323" s="1258"/>
      <c r="CM323" s="218"/>
      <c r="CN323" s="1275"/>
    </row>
    <row r="324" spans="2:92" ht="22.5" customHeight="1" x14ac:dyDescent="0.2">
      <c r="B324" s="1227"/>
      <c r="C324" s="1231"/>
      <c r="D324" s="1215"/>
      <c r="E324" s="1234"/>
      <c r="F324" s="1210"/>
      <c r="G324" s="328" t="str">
        <f>+'Plan de Accion apoyo transversa'!X91</f>
        <v>Capacitación de Desarrollo territorial y nacional realizada</v>
      </c>
      <c r="H324" s="240" t="str">
        <f>+'Plan de Accion apoyo transversa'!AK91</f>
        <v xml:space="preserve"># Capacitaciones realizadas </v>
      </c>
      <c r="J324" s="234">
        <f>+'Plan de Accion apoyo transversa'!AT91</f>
        <v>0</v>
      </c>
      <c r="K324" s="503" t="str">
        <f>+'Plan de Accion apoyo transversa'!CE91</f>
        <v>No Prog ni Ejec</v>
      </c>
      <c r="L324" s="503" t="s">
        <v>204</v>
      </c>
      <c r="M324" s="503">
        <f>+'Plan de Accion apoyo transversa'!AX91</f>
        <v>0</v>
      </c>
      <c r="N324" s="503">
        <f t="shared" si="271"/>
        <v>0</v>
      </c>
      <c r="O324" s="505" t="s">
        <v>204</v>
      </c>
      <c r="P324" s="229"/>
      <c r="Q324" s="234">
        <f>+'Plan de Accion apoyo transversa'!BD91</f>
        <v>0</v>
      </c>
      <c r="R324" s="324" t="str">
        <f>+'Plan de Accion apoyo transversa'!CG91</f>
        <v>No Prog ni Ejec</v>
      </c>
      <c r="S324" s="266" t="s">
        <v>204</v>
      </c>
      <c r="T324" s="324">
        <f>+'Plan de Accion apoyo transversa'!BH91</f>
        <v>0</v>
      </c>
      <c r="U324" s="324">
        <f t="shared" si="274"/>
        <v>0</v>
      </c>
      <c r="V324" s="227" t="s">
        <v>204</v>
      </c>
      <c r="W324" s="229"/>
      <c r="X324" s="234">
        <f>+'Plan de Accion apoyo transversa'!BN91</f>
        <v>0</v>
      </c>
      <c r="Y324" s="324">
        <f>+'Plan de Accion apoyo transversa'!CI91</f>
        <v>0</v>
      </c>
      <c r="Z324" s="228">
        <f>IF(Y324&gt;100%,100%,Y324)</f>
        <v>0</v>
      </c>
      <c r="AA324" s="233">
        <f>+'Plan de Accion apoyo transversa'!BR91</f>
        <v>0</v>
      </c>
      <c r="AB324" s="233">
        <f t="shared" si="275"/>
        <v>0</v>
      </c>
      <c r="AC324" s="232">
        <f t="shared" si="276"/>
        <v>0</v>
      </c>
      <c r="AD324" s="229"/>
      <c r="AE324" s="234">
        <f>+'Plan de Accion apoyo transversa'!BX91</f>
        <v>0</v>
      </c>
      <c r="AF324" s="324" t="str">
        <f>+'Plan de Accion apoyo transversa'!CK91</f>
        <v>No Prog ni Ejec</v>
      </c>
      <c r="AG324" s="228" t="s">
        <v>204</v>
      </c>
      <c r="AH324" s="324">
        <f>+'Plan de Accion apoyo transversa'!CB91</f>
        <v>0</v>
      </c>
      <c r="AI324" s="227">
        <f t="shared" si="277"/>
        <v>0</v>
      </c>
      <c r="AJ324" s="1256"/>
      <c r="AL324" s="1272"/>
      <c r="AM324" s="1258"/>
      <c r="AN324" s="220"/>
      <c r="AO324" s="1269"/>
      <c r="AP324" s="1258"/>
      <c r="AQ324" s="220"/>
      <c r="AR324" s="1258"/>
      <c r="AS324" s="1258"/>
      <c r="AT324" s="220"/>
      <c r="AU324" s="1258"/>
      <c r="AV324" s="1258"/>
      <c r="AW324" s="218"/>
      <c r="AX324" s="1275"/>
      <c r="AZ324" s="1272"/>
      <c r="BA324" s="1258"/>
      <c r="BB324" s="220"/>
      <c r="BC324" s="1269"/>
      <c r="BD324" s="1258"/>
      <c r="BE324" s="220"/>
      <c r="BF324" s="1258"/>
      <c r="BG324" s="1258"/>
      <c r="BH324" s="220"/>
      <c r="BI324" s="1258"/>
      <c r="BJ324" s="1258"/>
      <c r="BK324" s="218"/>
      <c r="BL324" s="1275"/>
      <c r="BN324" s="1272"/>
      <c r="BO324" s="1258"/>
      <c r="BP324" s="220"/>
      <c r="BQ324" s="1269"/>
      <c r="BR324" s="1258"/>
      <c r="BS324" s="220"/>
      <c r="BT324" s="1258"/>
      <c r="BU324" s="1258"/>
      <c r="BV324" s="220"/>
      <c r="BW324" s="1258"/>
      <c r="BX324" s="1258"/>
      <c r="BY324" s="218"/>
      <c r="BZ324" s="1275"/>
      <c r="CB324" s="1272"/>
      <c r="CC324" s="1258"/>
      <c r="CD324" s="220"/>
      <c r="CE324" s="1269"/>
      <c r="CF324" s="1258"/>
      <c r="CG324" s="220"/>
      <c r="CH324" s="1258"/>
      <c r="CI324" s="1258"/>
      <c r="CJ324" s="220"/>
      <c r="CK324" s="1258"/>
      <c r="CL324" s="1258"/>
      <c r="CM324" s="218"/>
      <c r="CN324" s="1275"/>
    </row>
    <row r="325" spans="2:92" ht="22.5" customHeight="1" x14ac:dyDescent="0.2">
      <c r="B325" s="1227"/>
      <c r="C325" s="1231"/>
      <c r="D325" s="1215"/>
      <c r="E325" s="1234"/>
      <c r="F325" s="1210"/>
      <c r="G325" s="328" t="str">
        <f>+'Plan de Accion apoyo transversa'!X92</f>
        <v>Inducción realizada</v>
      </c>
      <c r="H325" s="240" t="str">
        <f>+'Plan de Accion apoyo transversa'!AK92</f>
        <v xml:space="preserve"># Inducciones  realizadas </v>
      </c>
      <c r="J325" s="234">
        <f>+'Plan de Accion apoyo transversa'!AT92</f>
        <v>1</v>
      </c>
      <c r="K325" s="503">
        <f>+'Plan de Accion apoyo transversa'!CE92</f>
        <v>1</v>
      </c>
      <c r="L325" s="503">
        <f>IF(K325&gt;100%,100%,K325)</f>
        <v>1</v>
      </c>
      <c r="M325" s="503">
        <f>+'Plan de Accion apoyo transversa'!AX92</f>
        <v>0.25</v>
      </c>
      <c r="N325" s="503">
        <f t="shared" si="271"/>
        <v>0.25</v>
      </c>
      <c r="O325" s="505">
        <f>+N325</f>
        <v>0.25</v>
      </c>
      <c r="P325" s="229"/>
      <c r="Q325" s="234">
        <f>+'Plan de Accion apoyo transversa'!BD92</f>
        <v>1</v>
      </c>
      <c r="R325" s="324">
        <f>+'Plan de Accion apoyo transversa'!CG92</f>
        <v>1</v>
      </c>
      <c r="S325" s="266">
        <f>IF(R325&gt;100%,100%,R325)</f>
        <v>1</v>
      </c>
      <c r="T325" s="324">
        <f>+'Plan de Accion apoyo transversa'!BH92</f>
        <v>0.5</v>
      </c>
      <c r="U325" s="324">
        <f t="shared" si="274"/>
        <v>0.5</v>
      </c>
      <c r="V325" s="227">
        <f>+U325</f>
        <v>0.5</v>
      </c>
      <c r="W325" s="229"/>
      <c r="X325" s="234">
        <f>+'Plan de Accion apoyo transversa'!BN92</f>
        <v>0</v>
      </c>
      <c r="Y325" s="324">
        <f>+'Plan de Accion apoyo transversa'!CI92</f>
        <v>0</v>
      </c>
      <c r="Z325" s="228">
        <f>IF(Y325&gt;100%,100%,Y325)</f>
        <v>0</v>
      </c>
      <c r="AA325" s="233">
        <f>+'Plan de Accion apoyo transversa'!BR92</f>
        <v>0.5</v>
      </c>
      <c r="AB325" s="233">
        <f t="shared" si="275"/>
        <v>0.5</v>
      </c>
      <c r="AC325" s="232">
        <f t="shared" si="276"/>
        <v>0.5</v>
      </c>
      <c r="AD325" s="229"/>
      <c r="AE325" s="234">
        <f>+'Plan de Accion apoyo transversa'!BX92</f>
        <v>0</v>
      </c>
      <c r="AF325" s="324">
        <f>+'Plan de Accion apoyo transversa'!CK92</f>
        <v>0</v>
      </c>
      <c r="AG325" s="228">
        <f>IF(AF325&gt;100%,100%,AF325)</f>
        <v>0</v>
      </c>
      <c r="AH325" s="324">
        <f>+'Plan de Accion apoyo transversa'!CB92</f>
        <v>0.5</v>
      </c>
      <c r="AI325" s="227">
        <f t="shared" si="277"/>
        <v>0.5</v>
      </c>
      <c r="AJ325" s="1256"/>
      <c r="AL325" s="1272"/>
      <c r="AM325" s="1258"/>
      <c r="AN325" s="220"/>
      <c r="AO325" s="1269"/>
      <c r="AP325" s="1258"/>
      <c r="AQ325" s="220"/>
      <c r="AR325" s="1258"/>
      <c r="AS325" s="1258"/>
      <c r="AT325" s="220"/>
      <c r="AU325" s="1258"/>
      <c r="AV325" s="1258"/>
      <c r="AW325" s="218"/>
      <c r="AX325" s="1275"/>
      <c r="AZ325" s="1272"/>
      <c r="BA325" s="1258"/>
      <c r="BB325" s="220"/>
      <c r="BC325" s="1269"/>
      <c r="BD325" s="1258"/>
      <c r="BE325" s="220"/>
      <c r="BF325" s="1258"/>
      <c r="BG325" s="1258"/>
      <c r="BH325" s="220"/>
      <c r="BI325" s="1258"/>
      <c r="BJ325" s="1258"/>
      <c r="BK325" s="218"/>
      <c r="BL325" s="1275"/>
      <c r="BN325" s="1272"/>
      <c r="BO325" s="1258"/>
      <c r="BP325" s="220"/>
      <c r="BQ325" s="1269"/>
      <c r="BR325" s="1258"/>
      <c r="BS325" s="220"/>
      <c r="BT325" s="1258"/>
      <c r="BU325" s="1258"/>
      <c r="BV325" s="220"/>
      <c r="BW325" s="1258"/>
      <c r="BX325" s="1258"/>
      <c r="BY325" s="218"/>
      <c r="BZ325" s="1275"/>
      <c r="CB325" s="1272"/>
      <c r="CC325" s="1258"/>
      <c r="CD325" s="220"/>
      <c r="CE325" s="1269"/>
      <c r="CF325" s="1258"/>
      <c r="CG325" s="220"/>
      <c r="CH325" s="1258"/>
      <c r="CI325" s="1258"/>
      <c r="CJ325" s="220"/>
      <c r="CK325" s="1258"/>
      <c r="CL325" s="1258"/>
      <c r="CM325" s="218"/>
      <c r="CN325" s="1275"/>
    </row>
    <row r="326" spans="2:92" ht="22.5" customHeight="1" x14ac:dyDescent="0.2">
      <c r="B326" s="1227"/>
      <c r="C326" s="1231"/>
      <c r="D326" s="1215"/>
      <c r="E326" s="1234"/>
      <c r="F326" s="1203"/>
      <c r="G326" s="328" t="str">
        <f>+'Plan de Accion apoyo transversa'!X93</f>
        <v>Reinducción realizada</v>
      </c>
      <c r="H326" s="240" t="str">
        <f>+'Plan de Accion apoyo transversa'!AK93</f>
        <v xml:space="preserve"># Reinducciones realizadas </v>
      </c>
      <c r="J326" s="234">
        <f>+'Plan de Accion apoyo transversa'!AT93</f>
        <v>0</v>
      </c>
      <c r="K326" s="503" t="str">
        <f>+'Plan de Accion apoyo transversa'!CE93</f>
        <v>No Prog ni Ejec</v>
      </c>
      <c r="L326" s="503" t="s">
        <v>204</v>
      </c>
      <c r="M326" s="503">
        <f>+'Plan de Accion apoyo transversa'!AX93</f>
        <v>0</v>
      </c>
      <c r="N326" s="503">
        <f t="shared" si="271"/>
        <v>0</v>
      </c>
      <c r="O326" s="505" t="s">
        <v>204</v>
      </c>
      <c r="P326" s="229"/>
      <c r="Q326" s="234">
        <f>+'Plan de Accion apoyo transversa'!BD93</f>
        <v>0</v>
      </c>
      <c r="R326" s="324" t="str">
        <f>+'Plan de Accion apoyo transversa'!CG93</f>
        <v>No Prog ni Ejec</v>
      </c>
      <c r="S326" s="266" t="s">
        <v>204</v>
      </c>
      <c r="T326" s="324">
        <f>+'Plan de Accion apoyo transversa'!BH93</f>
        <v>0</v>
      </c>
      <c r="U326" s="324">
        <f t="shared" si="274"/>
        <v>0</v>
      </c>
      <c r="V326" s="227" t="s">
        <v>204</v>
      </c>
      <c r="W326" s="229"/>
      <c r="X326" s="234">
        <f>+'Plan de Accion apoyo transversa'!BN93</f>
        <v>0</v>
      </c>
      <c r="Y326" s="324">
        <f>+'Plan de Accion apoyo transversa'!CI93</f>
        <v>0</v>
      </c>
      <c r="Z326" s="228">
        <f>IF(Y326&gt;100%,100%,Y326)</f>
        <v>0</v>
      </c>
      <c r="AA326" s="233">
        <f>+'Plan de Accion apoyo transversa'!BR93</f>
        <v>0</v>
      </c>
      <c r="AB326" s="233">
        <f t="shared" si="275"/>
        <v>0</v>
      </c>
      <c r="AC326" s="232">
        <f t="shared" si="276"/>
        <v>0</v>
      </c>
      <c r="AD326" s="229"/>
      <c r="AE326" s="234">
        <f>+'Plan de Accion apoyo transversa'!BX93</f>
        <v>0</v>
      </c>
      <c r="AF326" s="324" t="str">
        <f>+'Plan de Accion apoyo transversa'!CK93</f>
        <v>No Prog ni Ejec</v>
      </c>
      <c r="AG326" s="228" t="s">
        <v>204</v>
      </c>
      <c r="AH326" s="324">
        <f>+'Plan de Accion apoyo transversa'!CB93</f>
        <v>0</v>
      </c>
      <c r="AI326" s="227">
        <f t="shared" si="277"/>
        <v>0</v>
      </c>
      <c r="AJ326" s="1256"/>
      <c r="AL326" s="1272"/>
      <c r="AM326" s="1258"/>
      <c r="AN326" s="220"/>
      <c r="AO326" s="1269"/>
      <c r="AP326" s="1258"/>
      <c r="AQ326" s="220"/>
      <c r="AR326" s="1258"/>
      <c r="AS326" s="1258"/>
      <c r="AT326" s="220"/>
      <c r="AU326" s="1258"/>
      <c r="AV326" s="1258"/>
      <c r="AW326" s="218"/>
      <c r="AX326" s="1275"/>
      <c r="AZ326" s="1272"/>
      <c r="BA326" s="1258"/>
      <c r="BB326" s="220"/>
      <c r="BC326" s="1269"/>
      <c r="BD326" s="1258"/>
      <c r="BE326" s="220"/>
      <c r="BF326" s="1258"/>
      <c r="BG326" s="1258"/>
      <c r="BH326" s="220"/>
      <c r="BI326" s="1258"/>
      <c r="BJ326" s="1258"/>
      <c r="BK326" s="218"/>
      <c r="BL326" s="1275"/>
      <c r="BN326" s="1272"/>
      <c r="BO326" s="1258"/>
      <c r="BP326" s="220"/>
      <c r="BQ326" s="1269"/>
      <c r="BR326" s="1258"/>
      <c r="BS326" s="220"/>
      <c r="BT326" s="1258"/>
      <c r="BU326" s="1258"/>
      <c r="BV326" s="220"/>
      <c r="BW326" s="1258"/>
      <c r="BX326" s="1258"/>
      <c r="BY326" s="218"/>
      <c r="BZ326" s="1275"/>
      <c r="CB326" s="1272"/>
      <c r="CC326" s="1258"/>
      <c r="CD326" s="220"/>
      <c r="CE326" s="1269"/>
      <c r="CF326" s="1258"/>
      <c r="CG326" s="220"/>
      <c r="CH326" s="1258"/>
      <c r="CI326" s="1258"/>
      <c r="CJ326" s="220"/>
      <c r="CK326" s="1258"/>
      <c r="CL326" s="1258"/>
      <c r="CM326" s="218"/>
      <c r="CN326" s="1275"/>
    </row>
    <row r="327" spans="2:92" ht="39" customHeight="1" x14ac:dyDescent="0.2">
      <c r="B327" s="1227"/>
      <c r="C327" s="1231"/>
      <c r="D327" s="1215"/>
      <c r="E327" s="1234"/>
      <c r="F327" s="1202" t="s">
        <v>1190</v>
      </c>
      <c r="G327" s="328" t="str">
        <f>+'Plan de Accion apoyo transversa'!X94</f>
        <v>Olimpiada deportiva de Microfútbol</v>
      </c>
      <c r="H327" s="1356" t="str">
        <f>+'Plan de Accion apoyo transversa'!AK94</f>
        <v># Actividades de bienestar realizadas</v>
      </c>
      <c r="J327" s="1353">
        <f>+'Plan de Accion apoyo transversa'!AT94</f>
        <v>1</v>
      </c>
      <c r="K327" s="1197">
        <f>+'Plan de Accion apoyo transversa'!CE94</f>
        <v>1</v>
      </c>
      <c r="L327" s="1197">
        <f>IF(K327&gt;100%,100%,K327)</f>
        <v>1</v>
      </c>
      <c r="M327" s="1197">
        <f>+'Plan de Accion apoyo transversa'!AX94</f>
        <v>5.2631578947368418E-2</v>
      </c>
      <c r="N327" s="1197">
        <f t="shared" si="271"/>
        <v>5.2631578947368418E-2</v>
      </c>
      <c r="O327" s="1192">
        <f>+N327</f>
        <v>5.2631578947368418E-2</v>
      </c>
      <c r="P327" s="229"/>
      <c r="Q327" s="1353">
        <f>+'Plan de Accion apoyo transversa'!BD94</f>
        <v>2</v>
      </c>
      <c r="R327" s="1197">
        <f>+'Plan de Accion apoyo transversa'!CG94</f>
        <v>1</v>
      </c>
      <c r="S327" s="1197">
        <f>IF(R327&gt;100%,100%,R327)</f>
        <v>1</v>
      </c>
      <c r="T327" s="1197">
        <f>+'Plan de Accion apoyo transversa'!BH94</f>
        <v>0.15789473684210525</v>
      </c>
      <c r="U327" s="1197">
        <f t="shared" ref="U327:U346" si="280">IF(T327&gt;100%,100%,T327)</f>
        <v>0.15789473684210525</v>
      </c>
      <c r="V327" s="1192">
        <f>+U327</f>
        <v>0.15789473684210525</v>
      </c>
      <c r="W327" s="229"/>
      <c r="X327" s="1353">
        <f>+'Plan de Accion apoyo transversa'!BN94</f>
        <v>0</v>
      </c>
      <c r="Y327" s="1197">
        <f>+'Plan de Accion apoyo transversa'!CI94</f>
        <v>0</v>
      </c>
      <c r="Z327" s="1197">
        <f>IF(Y327&gt;100%,100%,Y327)</f>
        <v>0</v>
      </c>
      <c r="AA327" s="1204">
        <f>+'Plan de Accion apoyo transversa'!BR94</f>
        <v>0.15789473684210525</v>
      </c>
      <c r="AB327" s="1204">
        <f t="shared" ref="AB327:AB346" si="281">IF(AA327&gt;100%,100%,AA327)</f>
        <v>0.15789473684210525</v>
      </c>
      <c r="AC327" s="1207">
        <f t="shared" ref="AC327:AC352" si="282">+AB327</f>
        <v>0.15789473684210525</v>
      </c>
      <c r="AD327" s="229"/>
      <c r="AE327" s="1353">
        <f>+'Plan de Accion apoyo transversa'!BX94</f>
        <v>0</v>
      </c>
      <c r="AF327" s="1197">
        <f>+'Plan de Accion apoyo transversa'!CK94</f>
        <v>0</v>
      </c>
      <c r="AG327" s="1197">
        <f>IF(AF327&gt;100%,100%,AF327)</f>
        <v>0</v>
      </c>
      <c r="AH327" s="1197">
        <f>+'Plan de Accion apoyo transversa'!CB94</f>
        <v>0.15789473684210525</v>
      </c>
      <c r="AI327" s="1192">
        <f t="shared" ref="AI327:AI346" si="283">IF(AH327&gt;100%,100%,AH327)</f>
        <v>0.15789473684210525</v>
      </c>
      <c r="AJ327" s="1256"/>
      <c r="AL327" s="1272"/>
      <c r="AM327" s="1258"/>
      <c r="AN327" s="220"/>
      <c r="AO327" s="1269"/>
      <c r="AP327" s="1258"/>
      <c r="AQ327" s="220"/>
      <c r="AR327" s="1258"/>
      <c r="AS327" s="1258"/>
      <c r="AT327" s="220"/>
      <c r="AU327" s="1258"/>
      <c r="AV327" s="1258"/>
      <c r="AW327" s="218"/>
      <c r="AX327" s="1275"/>
      <c r="AZ327" s="1272"/>
      <c r="BA327" s="1258"/>
      <c r="BB327" s="220"/>
      <c r="BC327" s="1269"/>
      <c r="BD327" s="1258"/>
      <c r="BE327" s="220"/>
      <c r="BF327" s="1258"/>
      <c r="BG327" s="1258"/>
      <c r="BH327" s="220"/>
      <c r="BI327" s="1258"/>
      <c r="BJ327" s="1258"/>
      <c r="BK327" s="218"/>
      <c r="BL327" s="1275"/>
      <c r="BN327" s="1272"/>
      <c r="BO327" s="1258"/>
      <c r="BP327" s="220"/>
      <c r="BQ327" s="1269"/>
      <c r="BR327" s="1258"/>
      <c r="BS327" s="220"/>
      <c r="BT327" s="1258"/>
      <c r="BU327" s="1258"/>
      <c r="BV327" s="220"/>
      <c r="BW327" s="1258"/>
      <c r="BX327" s="1258"/>
      <c r="BY327" s="218"/>
      <c r="BZ327" s="1275"/>
      <c r="CB327" s="1272"/>
      <c r="CC327" s="1258"/>
      <c r="CD327" s="220"/>
      <c r="CE327" s="1269"/>
      <c r="CF327" s="1258"/>
      <c r="CG327" s="220"/>
      <c r="CH327" s="1258"/>
      <c r="CI327" s="1258"/>
      <c r="CJ327" s="220"/>
      <c r="CK327" s="1258"/>
      <c r="CL327" s="1258"/>
      <c r="CM327" s="218"/>
      <c r="CN327" s="1275"/>
    </row>
    <row r="328" spans="2:92" ht="39" customHeight="1" x14ac:dyDescent="0.2">
      <c r="B328" s="1227"/>
      <c r="C328" s="1231"/>
      <c r="D328" s="1215"/>
      <c r="E328" s="1234"/>
      <c r="F328" s="1210"/>
      <c r="G328" s="328" t="str">
        <f>+'Plan de Accion apoyo transversa'!X95</f>
        <v>Olimpiada deportiva de Voleibol</v>
      </c>
      <c r="H328" s="1357"/>
      <c r="J328" s="1354"/>
      <c r="K328" s="1198"/>
      <c r="L328" s="1198"/>
      <c r="M328" s="1198"/>
      <c r="N328" s="1198"/>
      <c r="O328" s="1200"/>
      <c r="P328" s="229"/>
      <c r="Q328" s="1354"/>
      <c r="R328" s="1198"/>
      <c r="S328" s="1198"/>
      <c r="T328" s="1198"/>
      <c r="U328" s="1198"/>
      <c r="V328" s="1200"/>
      <c r="W328" s="229"/>
      <c r="X328" s="1354"/>
      <c r="Y328" s="1198"/>
      <c r="Z328" s="1198"/>
      <c r="AA328" s="1205"/>
      <c r="AB328" s="1205"/>
      <c r="AC328" s="1208"/>
      <c r="AD328" s="229"/>
      <c r="AE328" s="1354"/>
      <c r="AF328" s="1198"/>
      <c r="AG328" s="1198"/>
      <c r="AH328" s="1198"/>
      <c r="AI328" s="1200"/>
      <c r="AJ328" s="1256"/>
      <c r="AL328" s="1272"/>
      <c r="AM328" s="1258"/>
      <c r="AN328" s="220"/>
      <c r="AO328" s="1269"/>
      <c r="AP328" s="1258"/>
      <c r="AQ328" s="220"/>
      <c r="AR328" s="1258"/>
      <c r="AS328" s="1258"/>
      <c r="AT328" s="220"/>
      <c r="AU328" s="1258"/>
      <c r="AV328" s="1258"/>
      <c r="AW328" s="218"/>
      <c r="AX328" s="1275"/>
      <c r="AZ328" s="1272"/>
      <c r="BA328" s="1258"/>
      <c r="BB328" s="220"/>
      <c r="BC328" s="1269"/>
      <c r="BD328" s="1258"/>
      <c r="BE328" s="220"/>
      <c r="BF328" s="1258"/>
      <c r="BG328" s="1258"/>
      <c r="BH328" s="220"/>
      <c r="BI328" s="1258"/>
      <c r="BJ328" s="1258"/>
      <c r="BK328" s="218"/>
      <c r="BL328" s="1275"/>
      <c r="BN328" s="1272"/>
      <c r="BO328" s="1258"/>
      <c r="BP328" s="220"/>
      <c r="BQ328" s="1269"/>
      <c r="BR328" s="1258"/>
      <c r="BS328" s="220"/>
      <c r="BT328" s="1258"/>
      <c r="BU328" s="1258"/>
      <c r="BV328" s="220"/>
      <c r="BW328" s="1258"/>
      <c r="BX328" s="1258"/>
      <c r="BY328" s="218"/>
      <c r="BZ328" s="1275"/>
      <c r="CB328" s="1272"/>
      <c r="CC328" s="1258"/>
      <c r="CD328" s="220"/>
      <c r="CE328" s="1269"/>
      <c r="CF328" s="1258"/>
      <c r="CG328" s="220"/>
      <c r="CH328" s="1258"/>
      <c r="CI328" s="1258"/>
      <c r="CJ328" s="220"/>
      <c r="CK328" s="1258"/>
      <c r="CL328" s="1258"/>
      <c r="CM328" s="218"/>
      <c r="CN328" s="1275"/>
    </row>
    <row r="329" spans="2:92" ht="39" customHeight="1" x14ac:dyDescent="0.2">
      <c r="B329" s="1227"/>
      <c r="C329" s="1231"/>
      <c r="D329" s="1215"/>
      <c r="E329" s="1234"/>
      <c r="F329" s="1210"/>
      <c r="G329" s="328" t="str">
        <f>+'Plan de Accion apoyo transversa'!X96</f>
        <v>Olimpiada deportiva de Tenis de mesa</v>
      </c>
      <c r="H329" s="1357"/>
      <c r="J329" s="1354"/>
      <c r="K329" s="1198"/>
      <c r="L329" s="1198"/>
      <c r="M329" s="1198"/>
      <c r="N329" s="1198"/>
      <c r="O329" s="1200"/>
      <c r="P329" s="229"/>
      <c r="Q329" s="1354"/>
      <c r="R329" s="1198"/>
      <c r="S329" s="1198"/>
      <c r="T329" s="1198"/>
      <c r="U329" s="1198"/>
      <c r="V329" s="1200"/>
      <c r="W329" s="229"/>
      <c r="X329" s="1354"/>
      <c r="Y329" s="1198"/>
      <c r="Z329" s="1198"/>
      <c r="AA329" s="1205"/>
      <c r="AB329" s="1205"/>
      <c r="AC329" s="1208"/>
      <c r="AD329" s="229"/>
      <c r="AE329" s="1354"/>
      <c r="AF329" s="1198"/>
      <c r="AG329" s="1198"/>
      <c r="AH329" s="1198"/>
      <c r="AI329" s="1200"/>
      <c r="AJ329" s="1256"/>
      <c r="AL329" s="1272"/>
      <c r="AM329" s="1258"/>
      <c r="AN329" s="220"/>
      <c r="AO329" s="1269"/>
      <c r="AP329" s="1258"/>
      <c r="AQ329" s="220"/>
      <c r="AR329" s="1258"/>
      <c r="AS329" s="1258"/>
      <c r="AT329" s="220"/>
      <c r="AU329" s="1258"/>
      <c r="AV329" s="1258"/>
      <c r="AW329" s="218"/>
      <c r="AX329" s="1275"/>
      <c r="AZ329" s="1272"/>
      <c r="BA329" s="1258"/>
      <c r="BB329" s="220"/>
      <c r="BC329" s="1269"/>
      <c r="BD329" s="1258"/>
      <c r="BE329" s="220"/>
      <c r="BF329" s="1258"/>
      <c r="BG329" s="1258"/>
      <c r="BH329" s="220"/>
      <c r="BI329" s="1258"/>
      <c r="BJ329" s="1258"/>
      <c r="BK329" s="218"/>
      <c r="BL329" s="1275"/>
      <c r="BN329" s="1272"/>
      <c r="BO329" s="1258"/>
      <c r="BP329" s="220"/>
      <c r="BQ329" s="1269"/>
      <c r="BR329" s="1258"/>
      <c r="BS329" s="220"/>
      <c r="BT329" s="1258"/>
      <c r="BU329" s="1258"/>
      <c r="BV329" s="220"/>
      <c r="BW329" s="1258"/>
      <c r="BX329" s="1258"/>
      <c r="BY329" s="218"/>
      <c r="BZ329" s="1275"/>
      <c r="CB329" s="1272"/>
      <c r="CC329" s="1258"/>
      <c r="CD329" s="220"/>
      <c r="CE329" s="1269"/>
      <c r="CF329" s="1258"/>
      <c r="CG329" s="220"/>
      <c r="CH329" s="1258"/>
      <c r="CI329" s="1258"/>
      <c r="CJ329" s="220"/>
      <c r="CK329" s="1258"/>
      <c r="CL329" s="1258"/>
      <c r="CM329" s="218"/>
      <c r="CN329" s="1275"/>
    </row>
    <row r="330" spans="2:92" ht="39" customHeight="1" x14ac:dyDescent="0.2">
      <c r="B330" s="1227"/>
      <c r="C330" s="1231"/>
      <c r="D330" s="1215"/>
      <c r="E330" s="1234"/>
      <c r="F330" s="1210"/>
      <c r="G330" s="328" t="str">
        <f>+'Plan de Accion apoyo transversa'!X97</f>
        <v>Olimpiada deportiva de Bolos</v>
      </c>
      <c r="H330" s="1357"/>
      <c r="J330" s="1354"/>
      <c r="K330" s="1198"/>
      <c r="L330" s="1198"/>
      <c r="M330" s="1198"/>
      <c r="N330" s="1198"/>
      <c r="O330" s="1200"/>
      <c r="P330" s="229"/>
      <c r="Q330" s="1354"/>
      <c r="R330" s="1198"/>
      <c r="S330" s="1198"/>
      <c r="T330" s="1198"/>
      <c r="U330" s="1198"/>
      <c r="V330" s="1200"/>
      <c r="W330" s="229"/>
      <c r="X330" s="1354"/>
      <c r="Y330" s="1198"/>
      <c r="Z330" s="1198"/>
      <c r="AA330" s="1205"/>
      <c r="AB330" s="1205"/>
      <c r="AC330" s="1208"/>
      <c r="AD330" s="229"/>
      <c r="AE330" s="1354"/>
      <c r="AF330" s="1198"/>
      <c r="AG330" s="1198"/>
      <c r="AH330" s="1198"/>
      <c r="AI330" s="1200"/>
      <c r="AJ330" s="1256"/>
      <c r="AL330" s="1272"/>
      <c r="AM330" s="1258"/>
      <c r="AN330" s="220"/>
      <c r="AO330" s="1269"/>
      <c r="AP330" s="1258"/>
      <c r="AQ330" s="220"/>
      <c r="AR330" s="1258"/>
      <c r="AS330" s="1258"/>
      <c r="AT330" s="220"/>
      <c r="AU330" s="1258"/>
      <c r="AV330" s="1258"/>
      <c r="AW330" s="218"/>
      <c r="AX330" s="1275"/>
      <c r="AZ330" s="1272"/>
      <c r="BA330" s="1258"/>
      <c r="BB330" s="220"/>
      <c r="BC330" s="1269"/>
      <c r="BD330" s="1258"/>
      <c r="BE330" s="220"/>
      <c r="BF330" s="1258"/>
      <c r="BG330" s="1258"/>
      <c r="BH330" s="220"/>
      <c r="BI330" s="1258"/>
      <c r="BJ330" s="1258"/>
      <c r="BK330" s="218"/>
      <c r="BL330" s="1275"/>
      <c r="BN330" s="1272"/>
      <c r="BO330" s="1258"/>
      <c r="BP330" s="220"/>
      <c r="BQ330" s="1269"/>
      <c r="BR330" s="1258"/>
      <c r="BS330" s="220"/>
      <c r="BT330" s="1258"/>
      <c r="BU330" s="1258"/>
      <c r="BV330" s="220"/>
      <c r="BW330" s="1258"/>
      <c r="BX330" s="1258"/>
      <c r="BY330" s="218"/>
      <c r="BZ330" s="1275"/>
      <c r="CB330" s="1272"/>
      <c r="CC330" s="1258"/>
      <c r="CD330" s="220"/>
      <c r="CE330" s="1269"/>
      <c r="CF330" s="1258"/>
      <c r="CG330" s="220"/>
      <c r="CH330" s="1258"/>
      <c r="CI330" s="1258"/>
      <c r="CJ330" s="220"/>
      <c r="CK330" s="1258"/>
      <c r="CL330" s="1258"/>
      <c r="CM330" s="218"/>
      <c r="CN330" s="1275"/>
    </row>
    <row r="331" spans="2:92" ht="39" customHeight="1" x14ac:dyDescent="0.2">
      <c r="B331" s="1227"/>
      <c r="C331" s="1231"/>
      <c r="D331" s="1215"/>
      <c r="E331" s="1234"/>
      <c r="F331" s="1210"/>
      <c r="G331" s="328" t="str">
        <f>+'Plan de Accion apoyo transversa'!X98</f>
        <v>Olimpiada deportiva de Billar</v>
      </c>
      <c r="H331" s="1357"/>
      <c r="J331" s="1354"/>
      <c r="K331" s="1198"/>
      <c r="L331" s="1198"/>
      <c r="M331" s="1198"/>
      <c r="N331" s="1198"/>
      <c r="O331" s="1200"/>
      <c r="P331" s="229"/>
      <c r="Q331" s="1354"/>
      <c r="R331" s="1198"/>
      <c r="S331" s="1198"/>
      <c r="T331" s="1198"/>
      <c r="U331" s="1198"/>
      <c r="V331" s="1200"/>
      <c r="W331" s="229"/>
      <c r="X331" s="1354"/>
      <c r="Y331" s="1198"/>
      <c r="Z331" s="1198"/>
      <c r="AA331" s="1205"/>
      <c r="AB331" s="1205"/>
      <c r="AC331" s="1208"/>
      <c r="AD331" s="229"/>
      <c r="AE331" s="1354"/>
      <c r="AF331" s="1198"/>
      <c r="AG331" s="1198"/>
      <c r="AH331" s="1198"/>
      <c r="AI331" s="1200"/>
      <c r="AJ331" s="1256"/>
      <c r="AL331" s="1272"/>
      <c r="AM331" s="1258"/>
      <c r="AN331" s="220"/>
      <c r="AO331" s="1269"/>
      <c r="AP331" s="1258"/>
      <c r="AQ331" s="220"/>
      <c r="AR331" s="1258"/>
      <c r="AS331" s="1258"/>
      <c r="AT331" s="220"/>
      <c r="AU331" s="1258"/>
      <c r="AV331" s="1258"/>
      <c r="AW331" s="218"/>
      <c r="AX331" s="1275"/>
      <c r="AZ331" s="1272"/>
      <c r="BA331" s="1258"/>
      <c r="BB331" s="220"/>
      <c r="BC331" s="1269"/>
      <c r="BD331" s="1258"/>
      <c r="BE331" s="220"/>
      <c r="BF331" s="1258"/>
      <c r="BG331" s="1258"/>
      <c r="BH331" s="220"/>
      <c r="BI331" s="1258"/>
      <c r="BJ331" s="1258"/>
      <c r="BK331" s="218"/>
      <c r="BL331" s="1275"/>
      <c r="BN331" s="1272"/>
      <c r="BO331" s="1258"/>
      <c r="BP331" s="220"/>
      <c r="BQ331" s="1269"/>
      <c r="BR331" s="1258"/>
      <c r="BS331" s="220"/>
      <c r="BT331" s="1258"/>
      <c r="BU331" s="1258"/>
      <c r="BV331" s="220"/>
      <c r="BW331" s="1258"/>
      <c r="BX331" s="1258"/>
      <c r="BY331" s="218"/>
      <c r="BZ331" s="1275"/>
      <c r="CB331" s="1272"/>
      <c r="CC331" s="1258"/>
      <c r="CD331" s="220"/>
      <c r="CE331" s="1269"/>
      <c r="CF331" s="1258"/>
      <c r="CG331" s="220"/>
      <c r="CH331" s="1258"/>
      <c r="CI331" s="1258"/>
      <c r="CJ331" s="220"/>
      <c r="CK331" s="1258"/>
      <c r="CL331" s="1258"/>
      <c r="CM331" s="218"/>
      <c r="CN331" s="1275"/>
    </row>
    <row r="332" spans="2:92" ht="39" customHeight="1" x14ac:dyDescent="0.2">
      <c r="B332" s="1227"/>
      <c r="C332" s="1231"/>
      <c r="D332" s="1215"/>
      <c r="E332" s="1234"/>
      <c r="F332" s="1210"/>
      <c r="G332" s="328" t="str">
        <f>+'Plan de Accion apoyo transversa'!X99</f>
        <v>Vacaciones recreativas realizadas</v>
      </c>
      <c r="H332" s="1357"/>
      <c r="J332" s="1354"/>
      <c r="K332" s="1198"/>
      <c r="L332" s="1198"/>
      <c r="M332" s="1198"/>
      <c r="N332" s="1198"/>
      <c r="O332" s="1200"/>
      <c r="P332" s="229"/>
      <c r="Q332" s="1354"/>
      <c r="R332" s="1198"/>
      <c r="S332" s="1198"/>
      <c r="T332" s="1198"/>
      <c r="U332" s="1198"/>
      <c r="V332" s="1200"/>
      <c r="W332" s="229"/>
      <c r="X332" s="1354"/>
      <c r="Y332" s="1198"/>
      <c r="Z332" s="1198"/>
      <c r="AA332" s="1205"/>
      <c r="AB332" s="1205"/>
      <c r="AC332" s="1208"/>
      <c r="AD332" s="229"/>
      <c r="AE332" s="1354"/>
      <c r="AF332" s="1198"/>
      <c r="AG332" s="1198"/>
      <c r="AH332" s="1198"/>
      <c r="AI332" s="1200"/>
      <c r="AJ332" s="1256"/>
      <c r="AL332" s="1272"/>
      <c r="AM332" s="1258"/>
      <c r="AN332" s="220"/>
      <c r="AO332" s="1269"/>
      <c r="AP332" s="1258"/>
      <c r="AQ332" s="220"/>
      <c r="AR332" s="1258"/>
      <c r="AS332" s="1258"/>
      <c r="AT332" s="220"/>
      <c r="AU332" s="1258"/>
      <c r="AV332" s="1258"/>
      <c r="AW332" s="218"/>
      <c r="AX332" s="1275"/>
      <c r="AZ332" s="1272"/>
      <c r="BA332" s="1258"/>
      <c r="BB332" s="220"/>
      <c r="BC332" s="1269"/>
      <c r="BD332" s="1258"/>
      <c r="BE332" s="220"/>
      <c r="BF332" s="1258"/>
      <c r="BG332" s="1258"/>
      <c r="BH332" s="220"/>
      <c r="BI332" s="1258"/>
      <c r="BJ332" s="1258"/>
      <c r="BK332" s="218"/>
      <c r="BL332" s="1275"/>
      <c r="BN332" s="1272"/>
      <c r="BO332" s="1258"/>
      <c r="BP332" s="220"/>
      <c r="BQ332" s="1269"/>
      <c r="BR332" s="1258"/>
      <c r="BS332" s="220"/>
      <c r="BT332" s="1258"/>
      <c r="BU332" s="1258"/>
      <c r="BV332" s="220"/>
      <c r="BW332" s="1258"/>
      <c r="BX332" s="1258"/>
      <c r="BY332" s="218"/>
      <c r="BZ332" s="1275"/>
      <c r="CB332" s="1272"/>
      <c r="CC332" s="1258"/>
      <c r="CD332" s="220"/>
      <c r="CE332" s="1269"/>
      <c r="CF332" s="1258"/>
      <c r="CG332" s="220"/>
      <c r="CH332" s="1258"/>
      <c r="CI332" s="1258"/>
      <c r="CJ332" s="220"/>
      <c r="CK332" s="1258"/>
      <c r="CL332" s="1258"/>
      <c r="CM332" s="218"/>
      <c r="CN332" s="1275"/>
    </row>
    <row r="333" spans="2:92" ht="28.5" x14ac:dyDescent="0.2">
      <c r="B333" s="1228"/>
      <c r="C333" s="1231"/>
      <c r="D333" s="1215"/>
      <c r="E333" s="1234"/>
      <c r="F333" s="1210"/>
      <c r="G333" s="328" t="str">
        <f>+'Plan de Accion apoyo transversa'!X100</f>
        <v>Actividad día del niño realizada</v>
      </c>
      <c r="H333" s="1357"/>
      <c r="J333" s="1354"/>
      <c r="K333" s="1198"/>
      <c r="L333" s="1198"/>
      <c r="M333" s="1198"/>
      <c r="N333" s="1198"/>
      <c r="O333" s="1200"/>
      <c r="P333" s="229"/>
      <c r="Q333" s="1354"/>
      <c r="R333" s="1198"/>
      <c r="S333" s="1198"/>
      <c r="T333" s="1198"/>
      <c r="U333" s="1198"/>
      <c r="V333" s="1200"/>
      <c r="W333" s="229"/>
      <c r="X333" s="1354"/>
      <c r="Y333" s="1198"/>
      <c r="Z333" s="1198"/>
      <c r="AA333" s="1205"/>
      <c r="AB333" s="1205"/>
      <c r="AC333" s="1208"/>
      <c r="AD333" s="229"/>
      <c r="AE333" s="1354"/>
      <c r="AF333" s="1198"/>
      <c r="AG333" s="1198"/>
      <c r="AH333" s="1198"/>
      <c r="AI333" s="1200"/>
      <c r="AJ333" s="1256"/>
      <c r="AL333" s="1272"/>
      <c r="AM333" s="1258"/>
      <c r="AN333" s="220"/>
      <c r="AO333" s="1269"/>
      <c r="AP333" s="1258"/>
      <c r="AQ333" s="220"/>
      <c r="AR333" s="1258"/>
      <c r="AS333" s="1258"/>
      <c r="AT333" s="220"/>
      <c r="AU333" s="1258"/>
      <c r="AV333" s="1258"/>
      <c r="AW333" s="218"/>
      <c r="AX333" s="1275"/>
      <c r="AZ333" s="1272"/>
      <c r="BA333" s="1258"/>
      <c r="BB333" s="220"/>
      <c r="BC333" s="1269"/>
      <c r="BD333" s="1258"/>
      <c r="BE333" s="220"/>
      <c r="BF333" s="1258"/>
      <c r="BG333" s="1258"/>
      <c r="BH333" s="220"/>
      <c r="BI333" s="1258"/>
      <c r="BJ333" s="1258"/>
      <c r="BK333" s="218"/>
      <c r="BL333" s="1275"/>
      <c r="BN333" s="1272"/>
      <c r="BO333" s="1258"/>
      <c r="BP333" s="220"/>
      <c r="BQ333" s="1269"/>
      <c r="BR333" s="1258"/>
      <c r="BS333" s="220"/>
      <c r="BT333" s="1258"/>
      <c r="BU333" s="1258"/>
      <c r="BV333" s="220"/>
      <c r="BW333" s="1258"/>
      <c r="BX333" s="1258"/>
      <c r="BY333" s="218"/>
      <c r="BZ333" s="1275"/>
      <c r="CB333" s="1272"/>
      <c r="CC333" s="1258"/>
      <c r="CD333" s="220"/>
      <c r="CE333" s="1269"/>
      <c r="CF333" s="1258"/>
      <c r="CG333" s="220"/>
      <c r="CH333" s="1258"/>
      <c r="CI333" s="1258"/>
      <c r="CJ333" s="220"/>
      <c r="CK333" s="1258"/>
      <c r="CL333" s="1258"/>
      <c r="CM333" s="218"/>
      <c r="CN333" s="1275"/>
    </row>
    <row r="334" spans="2:92" ht="57" customHeight="1" x14ac:dyDescent="0.2">
      <c r="B334" s="1228"/>
      <c r="C334" s="1231"/>
      <c r="D334" s="1215"/>
      <c r="E334" s="1234"/>
      <c r="F334" s="1210"/>
      <c r="G334" s="328" t="str">
        <f>+'Plan de Accion apoyo transversa'!X101</f>
        <v>Actividad cultural y artística de Cine realizada</v>
      </c>
      <c r="H334" s="1357"/>
      <c r="J334" s="1354"/>
      <c r="K334" s="1198"/>
      <c r="L334" s="1198"/>
      <c r="M334" s="1198"/>
      <c r="N334" s="1198"/>
      <c r="O334" s="1200"/>
      <c r="P334" s="229"/>
      <c r="Q334" s="1354"/>
      <c r="R334" s="1198"/>
      <c r="S334" s="1198"/>
      <c r="T334" s="1198"/>
      <c r="U334" s="1198"/>
      <c r="V334" s="1200"/>
      <c r="W334" s="229"/>
      <c r="X334" s="1354"/>
      <c r="Y334" s="1198"/>
      <c r="Z334" s="1198"/>
      <c r="AA334" s="1205"/>
      <c r="AB334" s="1205"/>
      <c r="AC334" s="1208"/>
      <c r="AD334" s="229"/>
      <c r="AE334" s="1354"/>
      <c r="AF334" s="1198"/>
      <c r="AG334" s="1198"/>
      <c r="AH334" s="1198"/>
      <c r="AI334" s="1200"/>
      <c r="AJ334" s="1256"/>
      <c r="AL334" s="1272"/>
      <c r="AM334" s="1258"/>
      <c r="AN334" s="220"/>
      <c r="AO334" s="1269"/>
      <c r="AP334" s="1258"/>
      <c r="AQ334" s="220"/>
      <c r="AR334" s="1258"/>
      <c r="AS334" s="1258"/>
      <c r="AT334" s="220"/>
      <c r="AU334" s="1258"/>
      <c r="AV334" s="1258"/>
      <c r="AW334" s="218"/>
      <c r="AX334" s="1275"/>
      <c r="AZ334" s="1272"/>
      <c r="BA334" s="1258"/>
      <c r="BB334" s="220"/>
      <c r="BC334" s="1269"/>
      <c r="BD334" s="1258"/>
      <c r="BE334" s="220"/>
      <c r="BF334" s="1258"/>
      <c r="BG334" s="1258"/>
      <c r="BH334" s="220"/>
      <c r="BI334" s="1258"/>
      <c r="BJ334" s="1258"/>
      <c r="BK334" s="218"/>
      <c r="BL334" s="1275"/>
      <c r="BN334" s="1272"/>
      <c r="BO334" s="1258"/>
      <c r="BP334" s="220"/>
      <c r="BQ334" s="1269"/>
      <c r="BR334" s="1258"/>
      <c r="BS334" s="220"/>
      <c r="BT334" s="1258"/>
      <c r="BU334" s="1258"/>
      <c r="BV334" s="220"/>
      <c r="BW334" s="1258"/>
      <c r="BX334" s="1258"/>
      <c r="BY334" s="218"/>
      <c r="BZ334" s="1275"/>
      <c r="CB334" s="1272"/>
      <c r="CC334" s="1258"/>
      <c r="CD334" s="220"/>
      <c r="CE334" s="1269"/>
      <c r="CF334" s="1258"/>
      <c r="CG334" s="220"/>
      <c r="CH334" s="1258"/>
      <c r="CI334" s="1258"/>
      <c r="CJ334" s="220"/>
      <c r="CK334" s="1258"/>
      <c r="CL334" s="1258"/>
      <c r="CM334" s="218"/>
      <c r="CN334" s="1275"/>
    </row>
    <row r="335" spans="2:92" ht="28.5" x14ac:dyDescent="0.2">
      <c r="B335" s="1228"/>
      <c r="C335" s="1231"/>
      <c r="D335" s="1215"/>
      <c r="E335" s="1234"/>
      <c r="F335" s="1210"/>
      <c r="G335" s="328" t="str">
        <f>+'Plan de Accion apoyo transversa'!X102</f>
        <v>Actividad cultural y artística de Taller de cocina realizada</v>
      </c>
      <c r="H335" s="1357"/>
      <c r="J335" s="1354"/>
      <c r="K335" s="1198"/>
      <c r="L335" s="1198"/>
      <c r="M335" s="1198"/>
      <c r="N335" s="1198"/>
      <c r="O335" s="1200"/>
      <c r="P335" s="229"/>
      <c r="Q335" s="1354"/>
      <c r="R335" s="1198"/>
      <c r="S335" s="1198"/>
      <c r="T335" s="1198"/>
      <c r="U335" s="1198"/>
      <c r="V335" s="1200"/>
      <c r="W335" s="229"/>
      <c r="X335" s="1354"/>
      <c r="Y335" s="1198"/>
      <c r="Z335" s="1198"/>
      <c r="AA335" s="1205"/>
      <c r="AB335" s="1205"/>
      <c r="AC335" s="1208"/>
      <c r="AD335" s="229"/>
      <c r="AE335" s="1354"/>
      <c r="AF335" s="1198"/>
      <c r="AG335" s="1198"/>
      <c r="AH335" s="1198"/>
      <c r="AI335" s="1200"/>
      <c r="AJ335" s="1256"/>
      <c r="AL335" s="1272"/>
      <c r="AM335" s="1258"/>
      <c r="AN335" s="220"/>
      <c r="AO335" s="1269"/>
      <c r="AP335" s="1258"/>
      <c r="AQ335" s="220"/>
      <c r="AR335" s="1258"/>
      <c r="AS335" s="1258"/>
      <c r="AT335" s="220"/>
      <c r="AU335" s="1258"/>
      <c r="AV335" s="1258"/>
      <c r="AW335" s="218"/>
      <c r="AX335" s="1275"/>
      <c r="AZ335" s="1272"/>
      <c r="BA335" s="1258"/>
      <c r="BB335" s="220"/>
      <c r="BC335" s="1269"/>
      <c r="BD335" s="1258"/>
      <c r="BE335" s="220"/>
      <c r="BF335" s="1258"/>
      <c r="BG335" s="1258"/>
      <c r="BH335" s="220"/>
      <c r="BI335" s="1258"/>
      <c r="BJ335" s="1258"/>
      <c r="BK335" s="218"/>
      <c r="BL335" s="1275"/>
      <c r="BN335" s="1272"/>
      <c r="BO335" s="1258"/>
      <c r="BP335" s="220"/>
      <c r="BQ335" s="1269"/>
      <c r="BR335" s="1258"/>
      <c r="BS335" s="220"/>
      <c r="BT335" s="1258"/>
      <c r="BU335" s="1258"/>
      <c r="BV335" s="220"/>
      <c r="BW335" s="1258"/>
      <c r="BX335" s="1258"/>
      <c r="BY335" s="218"/>
      <c r="BZ335" s="1275"/>
      <c r="CB335" s="1272"/>
      <c r="CC335" s="1258"/>
      <c r="CD335" s="220"/>
      <c r="CE335" s="1269"/>
      <c r="CF335" s="1258"/>
      <c r="CG335" s="220"/>
      <c r="CH335" s="1258"/>
      <c r="CI335" s="1258"/>
      <c r="CJ335" s="220"/>
      <c r="CK335" s="1258"/>
      <c r="CL335" s="1258"/>
      <c r="CM335" s="218"/>
      <c r="CN335" s="1275"/>
    </row>
    <row r="336" spans="2:92" ht="28.5" x14ac:dyDescent="0.2">
      <c r="B336" s="1228"/>
      <c r="C336" s="1231"/>
      <c r="D336" s="1215"/>
      <c r="E336" s="1234"/>
      <c r="F336" s="1210"/>
      <c r="G336" s="328" t="str">
        <f>+'Plan de Accion apoyo transversa'!X103</f>
        <v>Actividad social de Dia de la familia realizada</v>
      </c>
      <c r="H336" s="1357"/>
      <c r="J336" s="1354"/>
      <c r="K336" s="1198"/>
      <c r="L336" s="1198"/>
      <c r="M336" s="1198"/>
      <c r="N336" s="1198"/>
      <c r="O336" s="1200"/>
      <c r="P336" s="229"/>
      <c r="Q336" s="1354"/>
      <c r="R336" s="1198"/>
      <c r="S336" s="1198"/>
      <c r="T336" s="1198"/>
      <c r="U336" s="1198"/>
      <c r="V336" s="1200"/>
      <c r="W336" s="229"/>
      <c r="X336" s="1354"/>
      <c r="Y336" s="1198"/>
      <c r="Z336" s="1198"/>
      <c r="AA336" s="1205"/>
      <c r="AB336" s="1205"/>
      <c r="AC336" s="1208"/>
      <c r="AD336" s="229"/>
      <c r="AE336" s="1354"/>
      <c r="AF336" s="1198"/>
      <c r="AG336" s="1198"/>
      <c r="AH336" s="1198"/>
      <c r="AI336" s="1200"/>
      <c r="AJ336" s="1256"/>
      <c r="AL336" s="1272"/>
      <c r="AM336" s="1258"/>
      <c r="AN336" s="220"/>
      <c r="AO336" s="1269"/>
      <c r="AP336" s="1258"/>
      <c r="AQ336" s="220"/>
      <c r="AR336" s="1258"/>
      <c r="AS336" s="1258"/>
      <c r="AT336" s="220"/>
      <c r="AU336" s="1258"/>
      <c r="AV336" s="1258"/>
      <c r="AW336" s="218"/>
      <c r="AX336" s="1275"/>
      <c r="AZ336" s="1272"/>
      <c r="BA336" s="1258"/>
      <c r="BB336" s="220"/>
      <c r="BC336" s="1269"/>
      <c r="BD336" s="1258"/>
      <c r="BE336" s="220"/>
      <c r="BF336" s="1258"/>
      <c r="BG336" s="1258"/>
      <c r="BH336" s="220"/>
      <c r="BI336" s="1258"/>
      <c r="BJ336" s="1258"/>
      <c r="BK336" s="218"/>
      <c r="BL336" s="1275"/>
      <c r="BN336" s="1272"/>
      <c r="BO336" s="1258"/>
      <c r="BP336" s="220"/>
      <c r="BQ336" s="1269"/>
      <c r="BR336" s="1258"/>
      <c r="BS336" s="220"/>
      <c r="BT336" s="1258"/>
      <c r="BU336" s="1258"/>
      <c r="BV336" s="220"/>
      <c r="BW336" s="1258"/>
      <c r="BX336" s="1258"/>
      <c r="BY336" s="218"/>
      <c r="BZ336" s="1275"/>
      <c r="CB336" s="1272"/>
      <c r="CC336" s="1258"/>
      <c r="CD336" s="220"/>
      <c r="CE336" s="1269"/>
      <c r="CF336" s="1258"/>
      <c r="CG336" s="220"/>
      <c r="CH336" s="1258"/>
      <c r="CI336" s="1258"/>
      <c r="CJ336" s="220"/>
      <c r="CK336" s="1258"/>
      <c r="CL336" s="1258"/>
      <c r="CM336" s="218"/>
      <c r="CN336" s="1275"/>
    </row>
    <row r="337" spans="2:92" ht="57" customHeight="1" x14ac:dyDescent="0.2">
      <c r="B337" s="1228"/>
      <c r="C337" s="1231"/>
      <c r="D337" s="1215"/>
      <c r="E337" s="1234"/>
      <c r="F337" s="1210"/>
      <c r="G337" s="328" t="str">
        <f>+'Plan de Accion apoyo transversa'!X104</f>
        <v>Actividad social de Dia Internacional de la Mujer realizada</v>
      </c>
      <c r="H337" s="1357"/>
      <c r="J337" s="1354"/>
      <c r="K337" s="1198"/>
      <c r="L337" s="1198"/>
      <c r="M337" s="1198"/>
      <c r="N337" s="1198"/>
      <c r="O337" s="1200"/>
      <c r="P337" s="229"/>
      <c r="Q337" s="1354"/>
      <c r="R337" s="1198"/>
      <c r="S337" s="1198"/>
      <c r="T337" s="1198"/>
      <c r="U337" s="1198"/>
      <c r="V337" s="1200"/>
      <c r="W337" s="229"/>
      <c r="X337" s="1354"/>
      <c r="Y337" s="1198"/>
      <c r="Z337" s="1198"/>
      <c r="AA337" s="1205"/>
      <c r="AB337" s="1205"/>
      <c r="AC337" s="1208"/>
      <c r="AD337" s="229"/>
      <c r="AE337" s="1354"/>
      <c r="AF337" s="1198"/>
      <c r="AG337" s="1198"/>
      <c r="AH337" s="1198"/>
      <c r="AI337" s="1200"/>
      <c r="AJ337" s="1256"/>
      <c r="AL337" s="1272"/>
      <c r="AM337" s="1258"/>
      <c r="AN337" s="220"/>
      <c r="AO337" s="1269"/>
      <c r="AP337" s="1258"/>
      <c r="AQ337" s="220"/>
      <c r="AR337" s="1258"/>
      <c r="AS337" s="1258"/>
      <c r="AT337" s="220"/>
      <c r="AU337" s="1258"/>
      <c r="AV337" s="1258"/>
      <c r="AW337" s="218"/>
      <c r="AX337" s="1275"/>
      <c r="AZ337" s="1272"/>
      <c r="BA337" s="1258"/>
      <c r="BB337" s="220"/>
      <c r="BC337" s="1269"/>
      <c r="BD337" s="1258"/>
      <c r="BE337" s="220"/>
      <c r="BF337" s="1258"/>
      <c r="BG337" s="1258"/>
      <c r="BH337" s="220"/>
      <c r="BI337" s="1258"/>
      <c r="BJ337" s="1258"/>
      <c r="BK337" s="218"/>
      <c r="BL337" s="1275"/>
      <c r="BN337" s="1272"/>
      <c r="BO337" s="1258"/>
      <c r="BP337" s="220"/>
      <c r="BQ337" s="1269"/>
      <c r="BR337" s="1258"/>
      <c r="BS337" s="220"/>
      <c r="BT337" s="1258"/>
      <c r="BU337" s="1258"/>
      <c r="BV337" s="220"/>
      <c r="BW337" s="1258"/>
      <c r="BX337" s="1258"/>
      <c r="BY337" s="218"/>
      <c r="BZ337" s="1275"/>
      <c r="CB337" s="1272"/>
      <c r="CC337" s="1258"/>
      <c r="CD337" s="220"/>
      <c r="CE337" s="1269"/>
      <c r="CF337" s="1258"/>
      <c r="CG337" s="220"/>
      <c r="CH337" s="1258"/>
      <c r="CI337" s="1258"/>
      <c r="CJ337" s="220"/>
      <c r="CK337" s="1258"/>
      <c r="CL337" s="1258"/>
      <c r="CM337" s="218"/>
      <c r="CN337" s="1275"/>
    </row>
    <row r="338" spans="2:92" ht="57" x14ac:dyDescent="0.2">
      <c r="B338" s="1228"/>
      <c r="C338" s="1231"/>
      <c r="D338" s="1215"/>
      <c r="E338" s="1234"/>
      <c r="F338" s="1210"/>
      <c r="G338" s="328" t="str">
        <f>+'Plan de Accion apoyo transversa'!X105</f>
        <v>Actividades de navidad (novenas del 16 al 20 de diciembre de 2019) realizadas</v>
      </c>
      <c r="H338" s="1357"/>
      <c r="J338" s="1354"/>
      <c r="K338" s="1198"/>
      <c r="L338" s="1198"/>
      <c r="M338" s="1198"/>
      <c r="N338" s="1198"/>
      <c r="O338" s="1200"/>
      <c r="P338" s="229"/>
      <c r="Q338" s="1354"/>
      <c r="R338" s="1198"/>
      <c r="S338" s="1198"/>
      <c r="T338" s="1198"/>
      <c r="U338" s="1198"/>
      <c r="V338" s="1200"/>
      <c r="W338" s="229"/>
      <c r="X338" s="1354"/>
      <c r="Y338" s="1198"/>
      <c r="Z338" s="1198"/>
      <c r="AA338" s="1205"/>
      <c r="AB338" s="1205"/>
      <c r="AC338" s="1208"/>
      <c r="AD338" s="229"/>
      <c r="AE338" s="1354"/>
      <c r="AF338" s="1198"/>
      <c r="AG338" s="1198"/>
      <c r="AH338" s="1198"/>
      <c r="AI338" s="1200"/>
      <c r="AJ338" s="1256"/>
      <c r="AL338" s="1272"/>
      <c r="AM338" s="1258"/>
      <c r="AN338" s="220"/>
      <c r="AO338" s="1269"/>
      <c r="AP338" s="1258"/>
      <c r="AQ338" s="220"/>
      <c r="AR338" s="1258"/>
      <c r="AS338" s="1258"/>
      <c r="AT338" s="220"/>
      <c r="AU338" s="1258"/>
      <c r="AV338" s="1258"/>
      <c r="AW338" s="218"/>
      <c r="AX338" s="1275"/>
      <c r="AZ338" s="1272"/>
      <c r="BA338" s="1258"/>
      <c r="BB338" s="220"/>
      <c r="BC338" s="1269"/>
      <c r="BD338" s="1258"/>
      <c r="BE338" s="220"/>
      <c r="BF338" s="1258"/>
      <c r="BG338" s="1258"/>
      <c r="BH338" s="220"/>
      <c r="BI338" s="1258"/>
      <c r="BJ338" s="1258"/>
      <c r="BK338" s="218"/>
      <c r="BL338" s="1275"/>
      <c r="BN338" s="1272"/>
      <c r="BO338" s="1258"/>
      <c r="BP338" s="220"/>
      <c r="BQ338" s="1269"/>
      <c r="BR338" s="1258"/>
      <c r="BS338" s="220"/>
      <c r="BT338" s="1258"/>
      <c r="BU338" s="1258"/>
      <c r="BV338" s="220"/>
      <c r="BW338" s="1258"/>
      <c r="BX338" s="1258"/>
      <c r="BY338" s="218"/>
      <c r="BZ338" s="1275"/>
      <c r="CB338" s="1272"/>
      <c r="CC338" s="1258"/>
      <c r="CD338" s="220"/>
      <c r="CE338" s="1269"/>
      <c r="CF338" s="1258"/>
      <c r="CG338" s="220"/>
      <c r="CH338" s="1258"/>
      <c r="CI338" s="1258"/>
      <c r="CJ338" s="220"/>
      <c r="CK338" s="1258"/>
      <c r="CL338" s="1258"/>
      <c r="CM338" s="218"/>
      <c r="CN338" s="1275"/>
    </row>
    <row r="339" spans="2:92" ht="28.5" x14ac:dyDescent="0.2">
      <c r="B339" s="1228"/>
      <c r="C339" s="1231"/>
      <c r="D339" s="1215"/>
      <c r="E339" s="1234"/>
      <c r="F339" s="1210"/>
      <c r="G339" s="328" t="str">
        <f>+'Plan de Accion apoyo transversa'!X106</f>
        <v>Actividad social de Dia del servidor público realizada</v>
      </c>
      <c r="H339" s="1357"/>
      <c r="J339" s="1354"/>
      <c r="K339" s="1198"/>
      <c r="L339" s="1198"/>
      <c r="M339" s="1198"/>
      <c r="N339" s="1198"/>
      <c r="O339" s="1200"/>
      <c r="P339" s="229"/>
      <c r="Q339" s="1354"/>
      <c r="R339" s="1198"/>
      <c r="S339" s="1198"/>
      <c r="T339" s="1198"/>
      <c r="U339" s="1198"/>
      <c r="V339" s="1200"/>
      <c r="W339" s="229"/>
      <c r="X339" s="1354"/>
      <c r="Y339" s="1198"/>
      <c r="Z339" s="1198"/>
      <c r="AA339" s="1205"/>
      <c r="AB339" s="1205"/>
      <c r="AC339" s="1208"/>
      <c r="AD339" s="229"/>
      <c r="AE339" s="1354"/>
      <c r="AF339" s="1198"/>
      <c r="AG339" s="1198"/>
      <c r="AH339" s="1198"/>
      <c r="AI339" s="1200"/>
      <c r="AJ339" s="1256"/>
      <c r="AL339" s="1272"/>
      <c r="AM339" s="1258"/>
      <c r="AN339" s="220"/>
      <c r="AO339" s="1269"/>
      <c r="AP339" s="1258"/>
      <c r="AQ339" s="220"/>
      <c r="AR339" s="1258"/>
      <c r="AS339" s="1258"/>
      <c r="AT339" s="220"/>
      <c r="AU339" s="1258"/>
      <c r="AV339" s="1258"/>
      <c r="AW339" s="218"/>
      <c r="AX339" s="1275"/>
      <c r="AZ339" s="1272"/>
      <c r="BA339" s="1258"/>
      <c r="BB339" s="220"/>
      <c r="BC339" s="1269"/>
      <c r="BD339" s="1258"/>
      <c r="BE339" s="220"/>
      <c r="BF339" s="1258"/>
      <c r="BG339" s="1258"/>
      <c r="BH339" s="220"/>
      <c r="BI339" s="1258"/>
      <c r="BJ339" s="1258"/>
      <c r="BK339" s="218"/>
      <c r="BL339" s="1275"/>
      <c r="BN339" s="1272"/>
      <c r="BO339" s="1258"/>
      <c r="BP339" s="220"/>
      <c r="BQ339" s="1269"/>
      <c r="BR339" s="1258"/>
      <c r="BS339" s="220"/>
      <c r="BT339" s="1258"/>
      <c r="BU339" s="1258"/>
      <c r="BV339" s="220"/>
      <c r="BW339" s="1258"/>
      <c r="BX339" s="1258"/>
      <c r="BY339" s="218"/>
      <c r="BZ339" s="1275"/>
      <c r="CB339" s="1272"/>
      <c r="CC339" s="1258"/>
      <c r="CD339" s="220"/>
      <c r="CE339" s="1269"/>
      <c r="CF339" s="1258"/>
      <c r="CG339" s="220"/>
      <c r="CH339" s="1258"/>
      <c r="CI339" s="1258"/>
      <c r="CJ339" s="220"/>
      <c r="CK339" s="1258"/>
      <c r="CL339" s="1258"/>
      <c r="CM339" s="218"/>
      <c r="CN339" s="1275"/>
    </row>
    <row r="340" spans="2:92" ht="28.5" x14ac:dyDescent="0.2">
      <c r="B340" s="1228"/>
      <c r="C340" s="1231"/>
      <c r="D340" s="1215"/>
      <c r="E340" s="1234"/>
      <c r="F340" s="1210"/>
      <c r="G340" s="328" t="str">
        <f>+'Plan de Accion apoyo transversa'!X107</f>
        <v>Plan prepensionados realizado</v>
      </c>
      <c r="H340" s="1357"/>
      <c r="J340" s="1354"/>
      <c r="K340" s="1198"/>
      <c r="L340" s="1198"/>
      <c r="M340" s="1198"/>
      <c r="N340" s="1198"/>
      <c r="O340" s="1200"/>
      <c r="P340" s="229"/>
      <c r="Q340" s="1354"/>
      <c r="R340" s="1198"/>
      <c r="S340" s="1198"/>
      <c r="T340" s="1198"/>
      <c r="U340" s="1198"/>
      <c r="V340" s="1200"/>
      <c r="W340" s="229"/>
      <c r="X340" s="1354"/>
      <c r="Y340" s="1198"/>
      <c r="Z340" s="1198"/>
      <c r="AA340" s="1205"/>
      <c r="AB340" s="1205"/>
      <c r="AC340" s="1208"/>
      <c r="AD340" s="229"/>
      <c r="AE340" s="1354"/>
      <c r="AF340" s="1198"/>
      <c r="AG340" s="1198"/>
      <c r="AH340" s="1198"/>
      <c r="AI340" s="1200"/>
      <c r="AJ340" s="1256"/>
      <c r="AL340" s="1272"/>
      <c r="AM340" s="1258"/>
      <c r="AN340" s="220"/>
      <c r="AO340" s="1269"/>
      <c r="AP340" s="1258"/>
      <c r="AQ340" s="220"/>
      <c r="AR340" s="1258"/>
      <c r="AS340" s="1258"/>
      <c r="AT340" s="220"/>
      <c r="AU340" s="1258"/>
      <c r="AV340" s="1258"/>
      <c r="AW340" s="218"/>
      <c r="AX340" s="1275"/>
      <c r="AZ340" s="1272"/>
      <c r="BA340" s="1258"/>
      <c r="BB340" s="220"/>
      <c r="BC340" s="1269"/>
      <c r="BD340" s="1258"/>
      <c r="BE340" s="220"/>
      <c r="BF340" s="1258"/>
      <c r="BG340" s="1258"/>
      <c r="BH340" s="220"/>
      <c r="BI340" s="1258"/>
      <c r="BJ340" s="1258"/>
      <c r="BK340" s="218"/>
      <c r="BL340" s="1275"/>
      <c r="BN340" s="1272"/>
      <c r="BO340" s="1258"/>
      <c r="BP340" s="220"/>
      <c r="BQ340" s="1269"/>
      <c r="BR340" s="1258"/>
      <c r="BS340" s="220"/>
      <c r="BT340" s="1258"/>
      <c r="BU340" s="1258"/>
      <c r="BV340" s="220"/>
      <c r="BW340" s="1258"/>
      <c r="BX340" s="1258"/>
      <c r="BY340" s="218"/>
      <c r="BZ340" s="1275"/>
      <c r="CB340" s="1272"/>
      <c r="CC340" s="1258"/>
      <c r="CD340" s="220"/>
      <c r="CE340" s="1269"/>
      <c r="CF340" s="1258"/>
      <c r="CG340" s="220"/>
      <c r="CH340" s="1258"/>
      <c r="CI340" s="1258"/>
      <c r="CJ340" s="220"/>
      <c r="CK340" s="1258"/>
      <c r="CL340" s="1258"/>
      <c r="CM340" s="218"/>
      <c r="CN340" s="1275"/>
    </row>
    <row r="341" spans="2:92" ht="42.75" x14ac:dyDescent="0.2">
      <c r="B341" s="1228"/>
      <c r="C341" s="1231"/>
      <c r="D341" s="1215"/>
      <c r="E341" s="1234"/>
      <c r="F341" s="1210"/>
      <c r="G341" s="328" t="str">
        <f>+'Plan de Accion apoyo transversa'!X108</f>
        <v>Jornada de salud sobre: Prevención cardiovascular realizada</v>
      </c>
      <c r="H341" s="1357"/>
      <c r="J341" s="1354"/>
      <c r="K341" s="1198"/>
      <c r="L341" s="1198"/>
      <c r="M341" s="1198"/>
      <c r="N341" s="1198"/>
      <c r="O341" s="1200"/>
      <c r="P341" s="229"/>
      <c r="Q341" s="1354"/>
      <c r="R341" s="1198"/>
      <c r="S341" s="1198"/>
      <c r="T341" s="1198"/>
      <c r="U341" s="1198"/>
      <c r="V341" s="1200"/>
      <c r="W341" s="229"/>
      <c r="X341" s="1354"/>
      <c r="Y341" s="1198"/>
      <c r="Z341" s="1198"/>
      <c r="AA341" s="1205"/>
      <c r="AB341" s="1205"/>
      <c r="AC341" s="1208"/>
      <c r="AD341" s="229"/>
      <c r="AE341" s="1354"/>
      <c r="AF341" s="1198"/>
      <c r="AG341" s="1198"/>
      <c r="AH341" s="1198"/>
      <c r="AI341" s="1200"/>
      <c r="AJ341" s="1256"/>
      <c r="AL341" s="1272"/>
      <c r="AM341" s="1258"/>
      <c r="AN341" s="220"/>
      <c r="AO341" s="1269"/>
      <c r="AP341" s="1258"/>
      <c r="AQ341" s="220"/>
      <c r="AR341" s="1258"/>
      <c r="AS341" s="1258"/>
      <c r="AT341" s="220"/>
      <c r="AU341" s="1258"/>
      <c r="AV341" s="1258"/>
      <c r="AW341" s="218"/>
      <c r="AX341" s="1275"/>
      <c r="AZ341" s="1272"/>
      <c r="BA341" s="1258"/>
      <c r="BB341" s="220"/>
      <c r="BC341" s="1269"/>
      <c r="BD341" s="1258"/>
      <c r="BE341" s="220"/>
      <c r="BF341" s="1258"/>
      <c r="BG341" s="1258"/>
      <c r="BH341" s="220"/>
      <c r="BI341" s="1258"/>
      <c r="BJ341" s="1258"/>
      <c r="BK341" s="218"/>
      <c r="BL341" s="1275"/>
      <c r="BN341" s="1272"/>
      <c r="BO341" s="1258"/>
      <c r="BP341" s="220"/>
      <c r="BQ341" s="1269"/>
      <c r="BR341" s="1258"/>
      <c r="BS341" s="220"/>
      <c r="BT341" s="1258"/>
      <c r="BU341" s="1258"/>
      <c r="BV341" s="220"/>
      <c r="BW341" s="1258"/>
      <c r="BX341" s="1258"/>
      <c r="BY341" s="218"/>
      <c r="BZ341" s="1275"/>
      <c r="CB341" s="1272"/>
      <c r="CC341" s="1258"/>
      <c r="CD341" s="220"/>
      <c r="CE341" s="1269"/>
      <c r="CF341" s="1258"/>
      <c r="CG341" s="220"/>
      <c r="CH341" s="1258"/>
      <c r="CI341" s="1258"/>
      <c r="CJ341" s="220"/>
      <c r="CK341" s="1258"/>
      <c r="CL341" s="1258"/>
      <c r="CM341" s="218"/>
      <c r="CN341" s="1275"/>
    </row>
    <row r="342" spans="2:92" ht="28.5" x14ac:dyDescent="0.2">
      <c r="B342" s="1228"/>
      <c r="C342" s="1231"/>
      <c r="D342" s="1215"/>
      <c r="E342" s="1234"/>
      <c r="F342" s="1210"/>
      <c r="G342" s="328" t="str">
        <f>+'Plan de Accion apoyo transversa'!X109</f>
        <v>Jornada de salud sobre: Pausas activas realizadas</v>
      </c>
      <c r="H342" s="1357"/>
      <c r="J342" s="1354"/>
      <c r="K342" s="1198"/>
      <c r="L342" s="1198"/>
      <c r="M342" s="1198"/>
      <c r="N342" s="1198"/>
      <c r="O342" s="1200"/>
      <c r="P342" s="229"/>
      <c r="Q342" s="1354"/>
      <c r="R342" s="1198"/>
      <c r="S342" s="1198"/>
      <c r="T342" s="1198"/>
      <c r="U342" s="1198"/>
      <c r="V342" s="1200"/>
      <c r="W342" s="229"/>
      <c r="X342" s="1354"/>
      <c r="Y342" s="1198"/>
      <c r="Z342" s="1198"/>
      <c r="AA342" s="1205"/>
      <c r="AB342" s="1205"/>
      <c r="AC342" s="1208"/>
      <c r="AD342" s="229"/>
      <c r="AE342" s="1354"/>
      <c r="AF342" s="1198"/>
      <c r="AG342" s="1198"/>
      <c r="AH342" s="1198"/>
      <c r="AI342" s="1200"/>
      <c r="AJ342" s="1256"/>
      <c r="AL342" s="1272"/>
      <c r="AM342" s="1258"/>
      <c r="AN342" s="220"/>
      <c r="AO342" s="1269"/>
      <c r="AP342" s="1258"/>
      <c r="AQ342" s="220"/>
      <c r="AR342" s="1258"/>
      <c r="AS342" s="1258"/>
      <c r="AT342" s="220"/>
      <c r="AU342" s="1258"/>
      <c r="AV342" s="1258"/>
      <c r="AW342" s="218"/>
      <c r="AX342" s="1275"/>
      <c r="AZ342" s="1272"/>
      <c r="BA342" s="1258"/>
      <c r="BB342" s="220"/>
      <c r="BC342" s="1269"/>
      <c r="BD342" s="1258"/>
      <c r="BE342" s="220"/>
      <c r="BF342" s="1258"/>
      <c r="BG342" s="1258"/>
      <c r="BH342" s="220"/>
      <c r="BI342" s="1258"/>
      <c r="BJ342" s="1258"/>
      <c r="BK342" s="218"/>
      <c r="BL342" s="1275"/>
      <c r="BN342" s="1272"/>
      <c r="BO342" s="1258"/>
      <c r="BP342" s="220"/>
      <c r="BQ342" s="1269"/>
      <c r="BR342" s="1258"/>
      <c r="BS342" s="220"/>
      <c r="BT342" s="1258"/>
      <c r="BU342" s="1258"/>
      <c r="BV342" s="220"/>
      <c r="BW342" s="1258"/>
      <c r="BX342" s="1258"/>
      <c r="BY342" s="218"/>
      <c r="BZ342" s="1275"/>
      <c r="CB342" s="1272"/>
      <c r="CC342" s="1258"/>
      <c r="CD342" s="220"/>
      <c r="CE342" s="1269"/>
      <c r="CF342" s="1258"/>
      <c r="CG342" s="220"/>
      <c r="CH342" s="1258"/>
      <c r="CI342" s="1258"/>
      <c r="CJ342" s="220"/>
      <c r="CK342" s="1258"/>
      <c r="CL342" s="1258"/>
      <c r="CM342" s="218"/>
      <c r="CN342" s="1275"/>
    </row>
    <row r="343" spans="2:92" ht="28.5" x14ac:dyDescent="0.2">
      <c r="B343" s="1228"/>
      <c r="C343" s="1231"/>
      <c r="D343" s="1215"/>
      <c r="E343" s="1234"/>
      <c r="F343" s="1210"/>
      <c r="G343" s="328" t="str">
        <f>+'Plan de Accion apoyo transversa'!X110</f>
        <v>Actividad de Incentivos realizada</v>
      </c>
      <c r="H343" s="1357"/>
      <c r="J343" s="1354"/>
      <c r="K343" s="1198"/>
      <c r="L343" s="1198"/>
      <c r="M343" s="1198"/>
      <c r="N343" s="1198"/>
      <c r="O343" s="1200"/>
      <c r="P343" s="229"/>
      <c r="Q343" s="1354"/>
      <c r="R343" s="1198"/>
      <c r="S343" s="1198"/>
      <c r="T343" s="1198"/>
      <c r="U343" s="1198"/>
      <c r="V343" s="1200"/>
      <c r="W343" s="229"/>
      <c r="X343" s="1354"/>
      <c r="Y343" s="1198"/>
      <c r="Z343" s="1198"/>
      <c r="AA343" s="1205"/>
      <c r="AB343" s="1205"/>
      <c r="AC343" s="1208"/>
      <c r="AD343" s="229"/>
      <c r="AE343" s="1354"/>
      <c r="AF343" s="1198"/>
      <c r="AG343" s="1198"/>
      <c r="AH343" s="1198"/>
      <c r="AI343" s="1200"/>
      <c r="AJ343" s="1256"/>
      <c r="AL343" s="1272"/>
      <c r="AM343" s="1258"/>
      <c r="AN343" s="220"/>
      <c r="AO343" s="1269"/>
      <c r="AP343" s="1258"/>
      <c r="AQ343" s="220"/>
      <c r="AR343" s="1258"/>
      <c r="AS343" s="1258"/>
      <c r="AT343" s="220"/>
      <c r="AU343" s="1258"/>
      <c r="AV343" s="1258"/>
      <c r="AW343" s="218"/>
      <c r="AX343" s="1275"/>
      <c r="AZ343" s="1272"/>
      <c r="BA343" s="1258"/>
      <c r="BB343" s="220"/>
      <c r="BC343" s="1269"/>
      <c r="BD343" s="1258"/>
      <c r="BE343" s="220"/>
      <c r="BF343" s="1258"/>
      <c r="BG343" s="1258"/>
      <c r="BH343" s="220"/>
      <c r="BI343" s="1258"/>
      <c r="BJ343" s="1258"/>
      <c r="BK343" s="218"/>
      <c r="BL343" s="1275"/>
      <c r="BN343" s="1272"/>
      <c r="BO343" s="1258"/>
      <c r="BP343" s="220"/>
      <c r="BQ343" s="1269"/>
      <c r="BR343" s="1258"/>
      <c r="BS343" s="220"/>
      <c r="BT343" s="1258"/>
      <c r="BU343" s="1258"/>
      <c r="BV343" s="220"/>
      <c r="BW343" s="1258"/>
      <c r="BX343" s="1258"/>
      <c r="BY343" s="218"/>
      <c r="BZ343" s="1275"/>
      <c r="CB343" s="1272"/>
      <c r="CC343" s="1258"/>
      <c r="CD343" s="220"/>
      <c r="CE343" s="1269"/>
      <c r="CF343" s="1258"/>
      <c r="CG343" s="220"/>
      <c r="CH343" s="1258"/>
      <c r="CI343" s="1258"/>
      <c r="CJ343" s="220"/>
      <c r="CK343" s="1258"/>
      <c r="CL343" s="1258"/>
      <c r="CM343" s="218"/>
      <c r="CN343" s="1275"/>
    </row>
    <row r="344" spans="2:92" ht="28.5" x14ac:dyDescent="0.2">
      <c r="B344" s="1228"/>
      <c r="C344" s="1231"/>
      <c r="D344" s="1215"/>
      <c r="E344" s="1234"/>
      <c r="F344" s="1210"/>
      <c r="G344" s="328" t="str">
        <f>+'Plan de Accion apoyo transversa'!X111</f>
        <v>Actividad de Cierre de gestión realizada</v>
      </c>
      <c r="H344" s="1357"/>
      <c r="J344" s="1354"/>
      <c r="K344" s="1198"/>
      <c r="L344" s="1198"/>
      <c r="M344" s="1198"/>
      <c r="N344" s="1198"/>
      <c r="O344" s="1200"/>
      <c r="P344" s="229"/>
      <c r="Q344" s="1354"/>
      <c r="R344" s="1198"/>
      <c r="S344" s="1198"/>
      <c r="T344" s="1198"/>
      <c r="U344" s="1198"/>
      <c r="V344" s="1200"/>
      <c r="W344" s="229"/>
      <c r="X344" s="1354"/>
      <c r="Y344" s="1198"/>
      <c r="Z344" s="1198"/>
      <c r="AA344" s="1205"/>
      <c r="AB344" s="1205"/>
      <c r="AC344" s="1208"/>
      <c r="AD344" s="229"/>
      <c r="AE344" s="1354"/>
      <c r="AF344" s="1198"/>
      <c r="AG344" s="1198"/>
      <c r="AH344" s="1198"/>
      <c r="AI344" s="1200"/>
      <c r="AJ344" s="1256"/>
      <c r="AL344" s="1272"/>
      <c r="AM344" s="1258"/>
      <c r="AN344" s="220"/>
      <c r="AO344" s="1269"/>
      <c r="AP344" s="1258"/>
      <c r="AQ344" s="220"/>
      <c r="AR344" s="1258"/>
      <c r="AS344" s="1258"/>
      <c r="AT344" s="220"/>
      <c r="AU344" s="1258"/>
      <c r="AV344" s="1258"/>
      <c r="AW344" s="218"/>
      <c r="AX344" s="1275"/>
      <c r="AZ344" s="1272"/>
      <c r="BA344" s="1258"/>
      <c r="BB344" s="220"/>
      <c r="BC344" s="1269"/>
      <c r="BD344" s="1258"/>
      <c r="BE344" s="220"/>
      <c r="BF344" s="1258"/>
      <c r="BG344" s="1258"/>
      <c r="BH344" s="220"/>
      <c r="BI344" s="1258"/>
      <c r="BJ344" s="1258"/>
      <c r="BK344" s="218"/>
      <c r="BL344" s="1275"/>
      <c r="BN344" s="1272"/>
      <c r="BO344" s="1258"/>
      <c r="BP344" s="220"/>
      <c r="BQ344" s="1269"/>
      <c r="BR344" s="1258"/>
      <c r="BS344" s="220"/>
      <c r="BT344" s="1258"/>
      <c r="BU344" s="1258"/>
      <c r="BV344" s="220"/>
      <c r="BW344" s="1258"/>
      <c r="BX344" s="1258"/>
      <c r="BY344" s="218"/>
      <c r="BZ344" s="1275"/>
      <c r="CB344" s="1272"/>
      <c r="CC344" s="1258"/>
      <c r="CD344" s="220"/>
      <c r="CE344" s="1269"/>
      <c r="CF344" s="1258"/>
      <c r="CG344" s="220"/>
      <c r="CH344" s="1258"/>
      <c r="CI344" s="1258"/>
      <c r="CJ344" s="220"/>
      <c r="CK344" s="1258"/>
      <c r="CL344" s="1258"/>
      <c r="CM344" s="218"/>
      <c r="CN344" s="1275"/>
    </row>
    <row r="345" spans="2:92" ht="15" x14ac:dyDescent="0.2">
      <c r="B345" s="1228"/>
      <c r="C345" s="1231"/>
      <c r="D345" s="1215"/>
      <c r="E345" s="1234"/>
      <c r="F345" s="1210"/>
      <c r="G345" s="584" t="str">
        <f>+'Plan de Accion apoyo transversa'!X112</f>
        <v>Gimnasio convenio</v>
      </c>
      <c r="H345" s="1358"/>
      <c r="J345" s="1355"/>
      <c r="K345" s="1199"/>
      <c r="L345" s="1199"/>
      <c r="M345" s="1199"/>
      <c r="N345" s="1199"/>
      <c r="O345" s="1193"/>
      <c r="P345" s="229"/>
      <c r="Q345" s="1355"/>
      <c r="R345" s="1199"/>
      <c r="S345" s="1199"/>
      <c r="T345" s="1199"/>
      <c r="U345" s="1199"/>
      <c r="V345" s="1193"/>
      <c r="W345" s="229"/>
      <c r="X345" s="1355"/>
      <c r="Y345" s="1199"/>
      <c r="Z345" s="1199"/>
      <c r="AA345" s="1206"/>
      <c r="AB345" s="1206"/>
      <c r="AC345" s="1209"/>
      <c r="AD345" s="229"/>
      <c r="AE345" s="1355"/>
      <c r="AF345" s="1199"/>
      <c r="AG345" s="1199"/>
      <c r="AH345" s="1199"/>
      <c r="AI345" s="1193"/>
      <c r="AJ345" s="1256"/>
      <c r="AL345" s="1272"/>
      <c r="AM345" s="1258"/>
      <c r="AN345" s="220"/>
      <c r="AO345" s="1269"/>
      <c r="AP345" s="1258"/>
      <c r="AQ345" s="220"/>
      <c r="AR345" s="1258"/>
      <c r="AS345" s="1258"/>
      <c r="AT345" s="220"/>
      <c r="AU345" s="1258"/>
      <c r="AV345" s="1258"/>
      <c r="AW345" s="218"/>
      <c r="AX345" s="1275"/>
      <c r="AZ345" s="1272"/>
      <c r="BA345" s="1258"/>
      <c r="BB345" s="220"/>
      <c r="BC345" s="1269"/>
      <c r="BD345" s="1258"/>
      <c r="BE345" s="220"/>
      <c r="BF345" s="1258"/>
      <c r="BG345" s="1258"/>
      <c r="BH345" s="220"/>
      <c r="BI345" s="1258"/>
      <c r="BJ345" s="1258"/>
      <c r="BK345" s="218"/>
      <c r="BL345" s="1275"/>
      <c r="BN345" s="1272"/>
      <c r="BO345" s="1258"/>
      <c r="BP345" s="220"/>
      <c r="BQ345" s="1269"/>
      <c r="BR345" s="1258"/>
      <c r="BS345" s="220"/>
      <c r="BT345" s="1258"/>
      <c r="BU345" s="1258"/>
      <c r="BV345" s="220"/>
      <c r="BW345" s="1258"/>
      <c r="BX345" s="1258"/>
      <c r="BY345" s="218"/>
      <c r="BZ345" s="1275"/>
      <c r="CB345" s="1272"/>
      <c r="CC345" s="1258"/>
      <c r="CD345" s="220"/>
      <c r="CE345" s="1269"/>
      <c r="CF345" s="1258"/>
      <c r="CG345" s="220"/>
      <c r="CH345" s="1258"/>
      <c r="CI345" s="1258"/>
      <c r="CJ345" s="220"/>
      <c r="CK345" s="1258"/>
      <c r="CL345" s="1258"/>
      <c r="CM345" s="218"/>
      <c r="CN345" s="1275"/>
    </row>
    <row r="346" spans="2:92" ht="28.5" x14ac:dyDescent="0.2">
      <c r="B346" s="1228"/>
      <c r="C346" s="1231"/>
      <c r="D346" s="1215"/>
      <c r="E346" s="1234"/>
      <c r="F346" s="1210"/>
      <c r="G346" s="328" t="str">
        <f>+'Plan de Accion apoyo transversa'!X114</f>
        <v>Medición del clima laboral realizada</v>
      </c>
      <c r="H346" s="240" t="str">
        <f>+'Plan de Accion apoyo transversa'!AK114</f>
        <v># Actividades de bienestar realizadas</v>
      </c>
      <c r="J346" s="234">
        <f>+'Plan de Accion apoyo transversa'!AT114</f>
        <v>0</v>
      </c>
      <c r="K346" s="503" t="str">
        <f>+'Plan de Accion apoyo transversa'!CE114</f>
        <v>No Prog ni Ejec</v>
      </c>
      <c r="L346" s="503" t="s">
        <v>204</v>
      </c>
      <c r="M346" s="503">
        <f>+'Plan de Accion apoyo transversa'!AX114</f>
        <v>0</v>
      </c>
      <c r="N346" s="503">
        <f t="shared" si="271"/>
        <v>0</v>
      </c>
      <c r="O346" s="505" t="s">
        <v>204</v>
      </c>
      <c r="P346" s="229"/>
      <c r="Q346" s="234">
        <f>+'Plan de Accion apoyo transversa'!BD114</f>
        <v>0</v>
      </c>
      <c r="R346" s="324" t="str">
        <f>+'Plan de Accion apoyo transversa'!CG114</f>
        <v>No Prog ni Ejec</v>
      </c>
      <c r="S346" s="266" t="s">
        <v>204</v>
      </c>
      <c r="T346" s="324">
        <f>+'Plan de Accion apoyo transversa'!BH114</f>
        <v>0</v>
      </c>
      <c r="U346" s="324">
        <f t="shared" si="280"/>
        <v>0</v>
      </c>
      <c r="V346" s="227" t="s">
        <v>204</v>
      </c>
      <c r="W346" s="229"/>
      <c r="X346" s="234">
        <f>+'Plan de Accion apoyo transversa'!BN114</f>
        <v>0</v>
      </c>
      <c r="Y346" s="324">
        <f>+'Plan de Accion apoyo transversa'!CI114</f>
        <v>0</v>
      </c>
      <c r="Z346" s="228">
        <f>IF(Y346&gt;100%,100%,Y346)</f>
        <v>0</v>
      </c>
      <c r="AA346" s="233">
        <f>+'Plan de Accion apoyo transversa'!BR114</f>
        <v>0</v>
      </c>
      <c r="AB346" s="233">
        <f t="shared" si="281"/>
        <v>0</v>
      </c>
      <c r="AC346" s="232">
        <f t="shared" si="282"/>
        <v>0</v>
      </c>
      <c r="AD346" s="229"/>
      <c r="AE346" s="234">
        <f>+'Plan de Accion apoyo transversa'!BX114</f>
        <v>0</v>
      </c>
      <c r="AF346" s="324" t="str">
        <f>+'Plan de Accion apoyo transversa'!CK114</f>
        <v>No Prog ni Ejec</v>
      </c>
      <c r="AG346" s="228" t="s">
        <v>204</v>
      </c>
      <c r="AH346" s="324">
        <f>+'Plan de Accion apoyo transversa'!CB114</f>
        <v>0</v>
      </c>
      <c r="AI346" s="227">
        <f t="shared" si="283"/>
        <v>0</v>
      </c>
      <c r="AJ346" s="1256"/>
      <c r="AL346" s="1272"/>
      <c r="AM346" s="1258"/>
      <c r="AN346" s="220"/>
      <c r="AO346" s="1269"/>
      <c r="AP346" s="1258"/>
      <c r="AQ346" s="220"/>
      <c r="AR346" s="1258"/>
      <c r="AS346" s="1258"/>
      <c r="AT346" s="220"/>
      <c r="AU346" s="1258"/>
      <c r="AV346" s="1258"/>
      <c r="AW346" s="218"/>
      <c r="AX346" s="1275"/>
      <c r="AZ346" s="1272"/>
      <c r="BA346" s="1258"/>
      <c r="BB346" s="220"/>
      <c r="BC346" s="1269"/>
      <c r="BD346" s="1258"/>
      <c r="BE346" s="220"/>
      <c r="BF346" s="1258"/>
      <c r="BG346" s="1258"/>
      <c r="BH346" s="220"/>
      <c r="BI346" s="1258"/>
      <c r="BJ346" s="1258"/>
      <c r="BK346" s="218"/>
      <c r="BL346" s="1275"/>
      <c r="BN346" s="1272"/>
      <c r="BO346" s="1258"/>
      <c r="BP346" s="220"/>
      <c r="BQ346" s="1269"/>
      <c r="BR346" s="1258"/>
      <c r="BS346" s="220"/>
      <c r="BT346" s="1258"/>
      <c r="BU346" s="1258"/>
      <c r="BV346" s="220"/>
      <c r="BW346" s="1258"/>
      <c r="BX346" s="1258"/>
      <c r="BY346" s="218"/>
      <c r="BZ346" s="1275"/>
      <c r="CB346" s="1272"/>
      <c r="CC346" s="1258"/>
      <c r="CD346" s="220"/>
      <c r="CE346" s="1269"/>
      <c r="CF346" s="1258"/>
      <c r="CG346" s="220"/>
      <c r="CH346" s="1258"/>
      <c r="CI346" s="1258"/>
      <c r="CJ346" s="220"/>
      <c r="CK346" s="1258"/>
      <c r="CL346" s="1258"/>
      <c r="CM346" s="218"/>
      <c r="CN346" s="1275"/>
    </row>
    <row r="347" spans="2:92" ht="28.5" x14ac:dyDescent="0.2">
      <c r="B347" s="1228"/>
      <c r="C347" s="1231"/>
      <c r="D347" s="1215"/>
      <c r="E347" s="1234"/>
      <c r="F347" s="1210"/>
      <c r="G347" s="328" t="str">
        <f>+'Plan de Accion apoyo transversa'!X113</f>
        <v>Caminata ecológica realizada</v>
      </c>
      <c r="H347" s="240" t="str">
        <f>+'Plan de Accion apoyo transversa'!AK94</f>
        <v># Actividades de bienestar realizadas</v>
      </c>
      <c r="J347" s="234">
        <f>+'Plan de Accion apoyo transversa'!AT114</f>
        <v>0</v>
      </c>
      <c r="K347" s="579" t="str">
        <f>+'Plan de Accion apoyo transversa'!CE114</f>
        <v>No Prog ni Ejec</v>
      </c>
      <c r="L347" s="579" t="s">
        <v>204</v>
      </c>
      <c r="M347" s="579">
        <f>+'Plan de Accion apoyo transversa'!AX114</f>
        <v>0</v>
      </c>
      <c r="N347" s="579">
        <f t="shared" ref="N347" si="284">IF(M347&gt;100%,100%,M347)</f>
        <v>0</v>
      </c>
      <c r="O347" s="581" t="s">
        <v>204</v>
      </c>
      <c r="P347" s="229"/>
      <c r="Q347" s="234" t="s">
        <v>204</v>
      </c>
      <c r="R347" s="579" t="s">
        <v>180</v>
      </c>
      <c r="S347" s="266" t="s">
        <v>204</v>
      </c>
      <c r="T347" s="579" t="s">
        <v>204</v>
      </c>
      <c r="U347" s="579" t="s">
        <v>204</v>
      </c>
      <c r="V347" s="227" t="str">
        <f>+U347</f>
        <v>N.A</v>
      </c>
      <c r="W347" s="229"/>
      <c r="X347" s="234" t="s">
        <v>204</v>
      </c>
      <c r="Y347" s="579" t="s">
        <v>180</v>
      </c>
      <c r="Z347" s="228" t="s">
        <v>204</v>
      </c>
      <c r="AA347" s="233" t="s">
        <v>204</v>
      </c>
      <c r="AB347" s="233" t="s">
        <v>204</v>
      </c>
      <c r="AC347" s="232" t="str">
        <f t="shared" ref="AC347" si="285">+AB347</f>
        <v>N.A</v>
      </c>
      <c r="AD347" s="229"/>
      <c r="AE347" s="234" t="s">
        <v>204</v>
      </c>
      <c r="AF347" s="579" t="s">
        <v>180</v>
      </c>
      <c r="AG347" s="228" t="s">
        <v>204</v>
      </c>
      <c r="AH347" s="579" t="s">
        <v>204</v>
      </c>
      <c r="AI347" s="227" t="s">
        <v>204</v>
      </c>
      <c r="AJ347" s="1256"/>
      <c r="AL347" s="1272"/>
      <c r="AM347" s="1258"/>
      <c r="AN347" s="220"/>
      <c r="AO347" s="1269"/>
      <c r="AP347" s="1258"/>
      <c r="AQ347" s="220"/>
      <c r="AR347" s="1258"/>
      <c r="AS347" s="1258"/>
      <c r="AT347" s="220"/>
      <c r="AU347" s="1258"/>
      <c r="AV347" s="1258"/>
      <c r="AW347" s="218"/>
      <c r="AX347" s="1275"/>
      <c r="AZ347" s="1272"/>
      <c r="BA347" s="1258"/>
      <c r="BB347" s="220"/>
      <c r="BC347" s="1269"/>
      <c r="BD347" s="1258"/>
      <c r="BE347" s="220"/>
      <c r="BF347" s="1258"/>
      <c r="BG347" s="1258"/>
      <c r="BH347" s="220"/>
      <c r="BI347" s="1258"/>
      <c r="BJ347" s="1258"/>
      <c r="BK347" s="218"/>
      <c r="BL347" s="1275"/>
      <c r="BN347" s="1272"/>
      <c r="BO347" s="1258"/>
      <c r="BP347" s="220"/>
      <c r="BQ347" s="1269"/>
      <c r="BR347" s="1258"/>
      <c r="BS347" s="220"/>
      <c r="BT347" s="1258"/>
      <c r="BU347" s="1258"/>
      <c r="BV347" s="220"/>
      <c r="BW347" s="1258"/>
      <c r="BX347" s="1258"/>
      <c r="BY347" s="218"/>
      <c r="BZ347" s="1275"/>
      <c r="CB347" s="1272"/>
      <c r="CC347" s="1258"/>
      <c r="CD347" s="220"/>
      <c r="CE347" s="1269"/>
      <c r="CF347" s="1258"/>
      <c r="CG347" s="220"/>
      <c r="CH347" s="1258"/>
      <c r="CI347" s="1258"/>
      <c r="CJ347" s="220"/>
      <c r="CK347" s="1258"/>
      <c r="CL347" s="1258"/>
      <c r="CM347" s="218"/>
      <c r="CN347" s="1275"/>
    </row>
    <row r="348" spans="2:92" ht="28.5" x14ac:dyDescent="0.2">
      <c r="B348" s="1228"/>
      <c r="C348" s="1231"/>
      <c r="D348" s="1215"/>
      <c r="E348" s="1234"/>
      <c r="F348" s="1210"/>
      <c r="G348" s="328" t="str">
        <f>+'Plan de Accion apoyo transversa'!X115</f>
        <v>Jornada de salud sobre: Salud visual realizada</v>
      </c>
      <c r="H348" s="240" t="str">
        <f>+'Plan de Accion apoyo transversa'!AK115</f>
        <v># Actividades de bienestar realizadas</v>
      </c>
      <c r="J348" s="234">
        <f>+'Plan de Accion apoyo transversa'!AT115</f>
        <v>0</v>
      </c>
      <c r="K348" s="503" t="str">
        <f>+'Plan de Accion apoyo transversa'!CE115</f>
        <v>No Prog ni Ejec</v>
      </c>
      <c r="L348" s="503" t="s">
        <v>204</v>
      </c>
      <c r="M348" s="503">
        <f>+'Plan de Accion apoyo transversa'!AX115</f>
        <v>0</v>
      </c>
      <c r="N348" s="503">
        <f t="shared" si="271"/>
        <v>0</v>
      </c>
      <c r="O348" s="505" t="s">
        <v>204</v>
      </c>
      <c r="P348" s="229"/>
      <c r="Q348" s="234" t="s">
        <v>204</v>
      </c>
      <c r="R348" s="324" t="s">
        <v>180</v>
      </c>
      <c r="S348" s="266" t="s">
        <v>204</v>
      </c>
      <c r="T348" s="324" t="s">
        <v>204</v>
      </c>
      <c r="U348" s="324" t="s">
        <v>204</v>
      </c>
      <c r="V348" s="227" t="str">
        <f>+U348</f>
        <v>N.A</v>
      </c>
      <c r="W348" s="229"/>
      <c r="X348" s="234" t="s">
        <v>204</v>
      </c>
      <c r="Y348" s="324" t="str">
        <f>+'Plan de Accion apoyo transversa'!CI115</f>
        <v>No Prog ni Ejec</v>
      </c>
      <c r="Z348" s="228" t="s">
        <v>204</v>
      </c>
      <c r="AA348" s="233" t="s">
        <v>204</v>
      </c>
      <c r="AB348" s="233" t="s">
        <v>204</v>
      </c>
      <c r="AC348" s="232" t="str">
        <f t="shared" si="282"/>
        <v>N.A</v>
      </c>
      <c r="AD348" s="229"/>
      <c r="AE348" s="234" t="s">
        <v>204</v>
      </c>
      <c r="AF348" s="324" t="s">
        <v>180</v>
      </c>
      <c r="AG348" s="228" t="s">
        <v>204</v>
      </c>
      <c r="AH348" s="324" t="s">
        <v>204</v>
      </c>
      <c r="AI348" s="227" t="s">
        <v>204</v>
      </c>
      <c r="AJ348" s="1256"/>
      <c r="AL348" s="1272"/>
      <c r="AM348" s="1258"/>
      <c r="AN348" s="220"/>
      <c r="AO348" s="1269"/>
      <c r="AP348" s="1258"/>
      <c r="AQ348" s="220"/>
      <c r="AR348" s="1258"/>
      <c r="AS348" s="1258"/>
      <c r="AT348" s="220"/>
      <c r="AU348" s="1258"/>
      <c r="AV348" s="1258"/>
      <c r="AW348" s="218"/>
      <c r="AX348" s="1275"/>
      <c r="AZ348" s="1272"/>
      <c r="BA348" s="1258"/>
      <c r="BB348" s="220"/>
      <c r="BC348" s="1269"/>
      <c r="BD348" s="1258"/>
      <c r="BE348" s="220"/>
      <c r="BF348" s="1258"/>
      <c r="BG348" s="1258"/>
      <c r="BH348" s="220"/>
      <c r="BI348" s="1258"/>
      <c r="BJ348" s="1258"/>
      <c r="BK348" s="218"/>
      <c r="BL348" s="1275"/>
      <c r="BN348" s="1272"/>
      <c r="BO348" s="1258"/>
      <c r="BP348" s="220"/>
      <c r="BQ348" s="1269"/>
      <c r="BR348" s="1258"/>
      <c r="BS348" s="220"/>
      <c r="BT348" s="1258"/>
      <c r="BU348" s="1258"/>
      <c r="BV348" s="220"/>
      <c r="BW348" s="1258"/>
      <c r="BX348" s="1258"/>
      <c r="BY348" s="218"/>
      <c r="BZ348" s="1275"/>
      <c r="CB348" s="1272"/>
      <c r="CC348" s="1258"/>
      <c r="CD348" s="220"/>
      <c r="CE348" s="1269"/>
      <c r="CF348" s="1258"/>
      <c r="CG348" s="220"/>
      <c r="CH348" s="1258"/>
      <c r="CI348" s="1258"/>
      <c r="CJ348" s="220"/>
      <c r="CK348" s="1258"/>
      <c r="CL348" s="1258"/>
      <c r="CM348" s="218"/>
      <c r="CN348" s="1275"/>
    </row>
    <row r="349" spans="2:92" ht="28.5" x14ac:dyDescent="0.2">
      <c r="B349" s="1228"/>
      <c r="C349" s="1231"/>
      <c r="D349" s="1215"/>
      <c r="E349" s="1234"/>
      <c r="F349" s="1210"/>
      <c r="G349" s="328" t="str">
        <f>+'Plan de Accion apoyo transversa'!X116</f>
        <v>Jornada de salud sobre: Salud Oral realizada</v>
      </c>
      <c r="H349" s="240" t="str">
        <f>+'Plan de Accion apoyo transversa'!AK116</f>
        <v># Actividades de bienestar realizadas</v>
      </c>
      <c r="J349" s="234">
        <f>+'Plan de Accion apoyo transversa'!AT116</f>
        <v>0</v>
      </c>
      <c r="K349" s="503" t="str">
        <f>+'Plan de Accion apoyo transversa'!CE116</f>
        <v>No Prog ni Ejec</v>
      </c>
      <c r="L349" s="503" t="s">
        <v>204</v>
      </c>
      <c r="M349" s="503">
        <f>+'Plan de Accion apoyo transversa'!AX116</f>
        <v>0</v>
      </c>
      <c r="N349" s="503">
        <f t="shared" si="271"/>
        <v>0</v>
      </c>
      <c r="O349" s="505" t="s">
        <v>204</v>
      </c>
      <c r="P349" s="229"/>
      <c r="Q349" s="234" t="s">
        <v>204</v>
      </c>
      <c r="R349" s="579" t="s">
        <v>180</v>
      </c>
      <c r="S349" s="266" t="s">
        <v>204</v>
      </c>
      <c r="T349" s="579" t="s">
        <v>204</v>
      </c>
      <c r="U349" s="579" t="s">
        <v>204</v>
      </c>
      <c r="V349" s="227" t="str">
        <f>+U349</f>
        <v>N.A</v>
      </c>
      <c r="W349" s="229"/>
      <c r="X349" s="234" t="s">
        <v>204</v>
      </c>
      <c r="Y349" s="579" t="str">
        <f>+'Plan de Accion apoyo transversa'!CI116</f>
        <v>No Prog ni Ejec</v>
      </c>
      <c r="Z349" s="228" t="s">
        <v>204</v>
      </c>
      <c r="AA349" s="233" t="s">
        <v>204</v>
      </c>
      <c r="AB349" s="233" t="s">
        <v>204</v>
      </c>
      <c r="AC349" s="232" t="str">
        <f t="shared" ref="AC349" si="286">+AB349</f>
        <v>N.A</v>
      </c>
      <c r="AD349" s="229"/>
      <c r="AE349" s="234" t="s">
        <v>204</v>
      </c>
      <c r="AF349" s="579" t="s">
        <v>180</v>
      </c>
      <c r="AG349" s="228" t="s">
        <v>204</v>
      </c>
      <c r="AH349" s="579" t="s">
        <v>204</v>
      </c>
      <c r="AI349" s="227" t="s">
        <v>204</v>
      </c>
      <c r="AJ349" s="1256"/>
      <c r="AL349" s="1272"/>
      <c r="AM349" s="1258"/>
      <c r="AN349" s="220"/>
      <c r="AO349" s="1269"/>
      <c r="AP349" s="1258"/>
      <c r="AQ349" s="220"/>
      <c r="AR349" s="1258"/>
      <c r="AS349" s="1258"/>
      <c r="AT349" s="220"/>
      <c r="AU349" s="1258"/>
      <c r="AV349" s="1258"/>
      <c r="AW349" s="218"/>
      <c r="AX349" s="1275"/>
      <c r="AZ349" s="1272"/>
      <c r="BA349" s="1258"/>
      <c r="BB349" s="220"/>
      <c r="BC349" s="1269"/>
      <c r="BD349" s="1258"/>
      <c r="BE349" s="220"/>
      <c r="BF349" s="1258"/>
      <c r="BG349" s="1258"/>
      <c r="BH349" s="220"/>
      <c r="BI349" s="1258"/>
      <c r="BJ349" s="1258"/>
      <c r="BK349" s="218"/>
      <c r="BL349" s="1275"/>
      <c r="BN349" s="1272"/>
      <c r="BO349" s="1258"/>
      <c r="BP349" s="220"/>
      <c r="BQ349" s="1269"/>
      <c r="BR349" s="1258"/>
      <c r="BS349" s="220"/>
      <c r="BT349" s="1258"/>
      <c r="BU349" s="1258"/>
      <c r="BV349" s="220"/>
      <c r="BW349" s="1258"/>
      <c r="BX349" s="1258"/>
      <c r="BY349" s="218"/>
      <c r="BZ349" s="1275"/>
      <c r="CB349" s="1272"/>
      <c r="CC349" s="1258"/>
      <c r="CD349" s="220"/>
      <c r="CE349" s="1269"/>
      <c r="CF349" s="1258"/>
      <c r="CG349" s="220"/>
      <c r="CH349" s="1258"/>
      <c r="CI349" s="1258"/>
      <c r="CJ349" s="220"/>
      <c r="CK349" s="1258"/>
      <c r="CL349" s="1258"/>
      <c r="CM349" s="218"/>
      <c r="CN349" s="1275"/>
    </row>
    <row r="350" spans="2:92" ht="57" customHeight="1" x14ac:dyDescent="0.2">
      <c r="B350" s="1228"/>
      <c r="C350" s="1231"/>
      <c r="D350" s="1215"/>
      <c r="E350" s="1234"/>
      <c r="F350" s="1210"/>
      <c r="G350" s="328" t="str">
        <f>+'Plan de Accion apoyo transversa'!X117</f>
        <v>Jornada de salud sobre: Prevención del cáncer realizada</v>
      </c>
      <c r="H350" s="240" t="str">
        <f>+'Plan de Accion apoyo transversa'!AK117</f>
        <v># Actividades de bienestar realizadas</v>
      </c>
      <c r="J350" s="234">
        <f>+'Plan de Accion apoyo transversa'!AT117</f>
        <v>0</v>
      </c>
      <c r="K350" s="503" t="str">
        <f>+'Plan de Accion apoyo transversa'!CE117</f>
        <v>No Prog ni Ejec</v>
      </c>
      <c r="L350" s="503" t="s">
        <v>204</v>
      </c>
      <c r="M350" s="503">
        <f>+'Plan de Accion apoyo transversa'!AX117</f>
        <v>0</v>
      </c>
      <c r="N350" s="503">
        <f t="shared" si="271"/>
        <v>0</v>
      </c>
      <c r="O350" s="505" t="s">
        <v>204</v>
      </c>
      <c r="P350" s="229"/>
      <c r="Q350" s="234" t="s">
        <v>204</v>
      </c>
      <c r="R350" s="579" t="s">
        <v>180</v>
      </c>
      <c r="S350" s="266" t="s">
        <v>204</v>
      </c>
      <c r="T350" s="579" t="s">
        <v>204</v>
      </c>
      <c r="U350" s="579" t="s">
        <v>204</v>
      </c>
      <c r="V350" s="227" t="str">
        <f>+U350</f>
        <v>N.A</v>
      </c>
      <c r="W350" s="229"/>
      <c r="X350" s="234" t="s">
        <v>204</v>
      </c>
      <c r="Y350" s="579" t="str">
        <f>+'Plan de Accion apoyo transversa'!CI117</f>
        <v>No Prog ni Ejec</v>
      </c>
      <c r="Z350" s="228" t="s">
        <v>204</v>
      </c>
      <c r="AA350" s="233" t="s">
        <v>204</v>
      </c>
      <c r="AB350" s="233" t="s">
        <v>204</v>
      </c>
      <c r="AC350" s="232" t="str">
        <f t="shared" ref="AC350:AC351" si="287">+AB350</f>
        <v>N.A</v>
      </c>
      <c r="AD350" s="229"/>
      <c r="AE350" s="234" t="s">
        <v>204</v>
      </c>
      <c r="AF350" s="579" t="s">
        <v>180</v>
      </c>
      <c r="AG350" s="228" t="s">
        <v>204</v>
      </c>
      <c r="AH350" s="579" t="s">
        <v>204</v>
      </c>
      <c r="AI350" s="227" t="s">
        <v>204</v>
      </c>
      <c r="AJ350" s="1256"/>
      <c r="AL350" s="1272"/>
      <c r="AM350" s="1258"/>
      <c r="AN350" s="220"/>
      <c r="AO350" s="1269"/>
      <c r="AP350" s="1258"/>
      <c r="AQ350" s="220"/>
      <c r="AR350" s="1258"/>
      <c r="AS350" s="1258"/>
      <c r="AT350" s="220"/>
      <c r="AU350" s="1258"/>
      <c r="AV350" s="1258"/>
      <c r="AW350" s="218"/>
      <c r="AX350" s="1275"/>
      <c r="AZ350" s="1272"/>
      <c r="BA350" s="1258"/>
      <c r="BB350" s="220"/>
      <c r="BC350" s="1269"/>
      <c r="BD350" s="1258"/>
      <c r="BE350" s="220"/>
      <c r="BF350" s="1258"/>
      <c r="BG350" s="1258"/>
      <c r="BH350" s="220"/>
      <c r="BI350" s="1258"/>
      <c r="BJ350" s="1258"/>
      <c r="BK350" s="218"/>
      <c r="BL350" s="1275"/>
      <c r="BN350" s="1272"/>
      <c r="BO350" s="1258"/>
      <c r="BP350" s="220"/>
      <c r="BQ350" s="1269"/>
      <c r="BR350" s="1258"/>
      <c r="BS350" s="220"/>
      <c r="BT350" s="1258"/>
      <c r="BU350" s="1258"/>
      <c r="BV350" s="220"/>
      <c r="BW350" s="1258"/>
      <c r="BX350" s="1258"/>
      <c r="BY350" s="218"/>
      <c r="BZ350" s="1275"/>
      <c r="CB350" s="1272"/>
      <c r="CC350" s="1258"/>
      <c r="CD350" s="220"/>
      <c r="CE350" s="1269"/>
      <c r="CF350" s="1258"/>
      <c r="CG350" s="220"/>
      <c r="CH350" s="1258"/>
      <c r="CI350" s="1258"/>
      <c r="CJ350" s="220"/>
      <c r="CK350" s="1258"/>
      <c r="CL350" s="1258"/>
      <c r="CM350" s="218"/>
      <c r="CN350" s="1275"/>
    </row>
    <row r="351" spans="2:92" ht="96" customHeight="1" x14ac:dyDescent="0.2">
      <c r="B351" s="1229"/>
      <c r="C351" s="1231"/>
      <c r="D351" s="1215"/>
      <c r="E351" s="1234"/>
      <c r="F351" s="728" t="s">
        <v>1787</v>
      </c>
      <c r="G351" s="743" t="str">
        <f>+'Plan de Accion apoyo transversa'!X188</f>
        <v>Jornada de divulgación del Plan de Emergencias realizada</v>
      </c>
      <c r="H351" s="240" t="str">
        <f>+'Plan de Accion apoyo transversa'!AK188</f>
        <v># de actividades realizadas</v>
      </c>
      <c r="J351" s="234">
        <f>+'Plan de Accion apoyo transversa'!AT188</f>
        <v>0</v>
      </c>
      <c r="K351" s="732" t="str">
        <f>+'Plan de Accion apoyo transversa'!CE188</f>
        <v>No Prog ni Ejec</v>
      </c>
      <c r="L351" s="732" t="s">
        <v>204</v>
      </c>
      <c r="M351" s="732">
        <f>+'Plan de Accion apoyo transversa'!AX188</f>
        <v>0</v>
      </c>
      <c r="N351" s="732">
        <f>IF(M351&gt;100%,100%,M351)</f>
        <v>0</v>
      </c>
      <c r="O351" s="733" t="s">
        <v>204</v>
      </c>
      <c r="P351" s="229"/>
      <c r="Q351" s="234">
        <f>+'Plan de Accion apoyo transversa'!BD188</f>
        <v>0</v>
      </c>
      <c r="R351" s="732" t="str">
        <f>+'Plan de Accion apoyo transversa'!CG188</f>
        <v>No Prog ni Ejec</v>
      </c>
      <c r="S351" s="266" t="s">
        <v>204</v>
      </c>
      <c r="T351" s="732">
        <f>+'Plan de Accion apoyo transversa'!BH188</f>
        <v>0</v>
      </c>
      <c r="U351" s="732">
        <f t="shared" ref="U351" si="288">IF(T351&gt;100%,100%,T351)</f>
        <v>0</v>
      </c>
      <c r="V351" s="227" t="s">
        <v>204</v>
      </c>
      <c r="W351" s="229"/>
      <c r="X351" s="234">
        <f>+'Plan de Accion apoyo transversa'!BN188</f>
        <v>0</v>
      </c>
      <c r="Y351" s="732">
        <f>+'Plan de Accion apoyo transversa'!CI188</f>
        <v>0</v>
      </c>
      <c r="Z351" s="228">
        <f>IF(Y351&gt;100%,100%,Y351)</f>
        <v>0</v>
      </c>
      <c r="AA351" s="233">
        <f>+'Plan de Accion apoyo transversa'!BR188</f>
        <v>0</v>
      </c>
      <c r="AB351" s="233">
        <f t="shared" ref="AB351" si="289">IF(AA351&gt;100%,100%,AA351)</f>
        <v>0</v>
      </c>
      <c r="AC351" s="232">
        <f t="shared" si="287"/>
        <v>0</v>
      </c>
      <c r="AD351" s="229"/>
      <c r="AE351" s="234">
        <f>+'Plan de Accion apoyo transversa'!BX123</f>
        <v>0</v>
      </c>
      <c r="AF351" s="732" t="str">
        <f>+'Plan de Accion apoyo transversa'!CK188</f>
        <v>No Prog ni Ejec</v>
      </c>
      <c r="AG351" s="228" t="s">
        <v>204</v>
      </c>
      <c r="AH351" s="732">
        <f>+'Plan de Accion apoyo transversa'!CB188</f>
        <v>0</v>
      </c>
      <c r="AI351" s="227">
        <f t="shared" ref="AI351" si="290">IF(AH351&gt;100%,100%,AH351)</f>
        <v>0</v>
      </c>
      <c r="AJ351" s="737"/>
      <c r="AL351" s="741"/>
      <c r="AM351" s="738"/>
      <c r="AN351" s="220"/>
      <c r="AO351" s="739"/>
      <c r="AP351" s="738"/>
      <c r="AQ351" s="220"/>
      <c r="AR351" s="738"/>
      <c r="AS351" s="738"/>
      <c r="AT351" s="220"/>
      <c r="AU351" s="738"/>
      <c r="AV351" s="738"/>
      <c r="AW351" s="218"/>
      <c r="AX351" s="742"/>
      <c r="AZ351" s="741"/>
      <c r="BA351" s="738"/>
      <c r="BB351" s="220"/>
      <c r="BC351" s="739"/>
      <c r="BD351" s="738"/>
      <c r="BE351" s="220"/>
      <c r="BF351" s="738"/>
      <c r="BG351" s="738"/>
      <c r="BH351" s="220"/>
      <c r="BI351" s="738"/>
      <c r="BJ351" s="738"/>
      <c r="BK351" s="218"/>
      <c r="BL351" s="742"/>
      <c r="BN351" s="741"/>
      <c r="BO351" s="738"/>
      <c r="BP351" s="220"/>
      <c r="BQ351" s="739"/>
      <c r="BR351" s="738"/>
      <c r="BS351" s="220"/>
      <c r="BT351" s="738"/>
      <c r="BU351" s="738"/>
      <c r="BV351" s="220"/>
      <c r="BW351" s="738"/>
      <c r="BX351" s="738"/>
      <c r="BY351" s="218"/>
      <c r="BZ351" s="742"/>
      <c r="CB351" s="741"/>
      <c r="CC351" s="738"/>
      <c r="CD351" s="220"/>
      <c r="CE351" s="739"/>
      <c r="CF351" s="738"/>
      <c r="CG351" s="220"/>
      <c r="CH351" s="738"/>
      <c r="CI351" s="738"/>
      <c r="CJ351" s="220"/>
      <c r="CK351" s="738"/>
      <c r="CL351" s="738"/>
      <c r="CM351" s="218"/>
      <c r="CN351" s="742"/>
    </row>
    <row r="352" spans="2:92" ht="69.75" customHeight="1" x14ac:dyDescent="0.2">
      <c r="B352" s="1229"/>
      <c r="C352" s="1231"/>
      <c r="D352" s="1216"/>
      <c r="E352" s="1235"/>
      <c r="F352" s="320" t="s">
        <v>336</v>
      </c>
      <c r="G352" s="328" t="str">
        <f>+'Plan de Accion apoyo transversa'!X124</f>
        <v>Información difundida a los funcionarios sobre servicio al ciudadano, tramites, servicios y OPAS de la entidad.</v>
      </c>
      <c r="H352" s="240" t="str">
        <f>+'Plan de Accion apoyo transversa'!AK124</f>
        <v>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v>
      </c>
      <c r="J352" s="234">
        <f>+'Plan de Accion apoyo transversa'!AT124</f>
        <v>25</v>
      </c>
      <c r="K352" s="503">
        <f>+'Plan de Accion apoyo transversa'!CE124</f>
        <v>1</v>
      </c>
      <c r="L352" s="503">
        <f>IF(K352&gt;100%,100%,K352)</f>
        <v>1</v>
      </c>
      <c r="M352" s="503">
        <f>+'Plan de Accion apoyo transversa'!AX124</f>
        <v>0.25</v>
      </c>
      <c r="N352" s="503">
        <f t="shared" si="271"/>
        <v>0.25</v>
      </c>
      <c r="O352" s="505">
        <f>+N352</f>
        <v>0.25</v>
      </c>
      <c r="P352" s="229"/>
      <c r="Q352" s="234">
        <f>+'Plan de Accion apoyo transversa'!BD124</f>
        <v>6</v>
      </c>
      <c r="R352" s="324">
        <f>+'Plan de Accion apoyo transversa'!CG124</f>
        <v>1</v>
      </c>
      <c r="S352" s="266">
        <f t="shared" ref="S352:S359" si="291">IF(R352&gt;100%,100%,R352)</f>
        <v>1</v>
      </c>
      <c r="T352" s="324">
        <f>+'Plan de Accion apoyo transversa'!BH124</f>
        <v>0.31</v>
      </c>
      <c r="U352" s="324">
        <f t="shared" ref="U352:U359" si="292">IF(T352&gt;100%,100%,T352)</f>
        <v>0.31</v>
      </c>
      <c r="V352" s="227">
        <f t="shared" ref="V352:V359" si="293">+U352</f>
        <v>0.31</v>
      </c>
      <c r="W352" s="229"/>
      <c r="X352" s="234">
        <f>+'Plan de Accion apoyo transversa'!BN124</f>
        <v>0</v>
      </c>
      <c r="Y352" s="324">
        <f>+'Plan de Accion apoyo transversa'!CI124</f>
        <v>0</v>
      </c>
      <c r="Z352" s="228">
        <f>IF(Y352&gt;100%,100%,Y352)</f>
        <v>0</v>
      </c>
      <c r="AA352" s="233">
        <f>+'Plan de Accion apoyo transversa'!BR124</f>
        <v>0.31</v>
      </c>
      <c r="AB352" s="233">
        <f t="shared" ref="AB352:AB359" si="294">IF(AA352&gt;100%,100%,AA352)</f>
        <v>0.31</v>
      </c>
      <c r="AC352" s="232">
        <f t="shared" si="282"/>
        <v>0.31</v>
      </c>
      <c r="AD352" s="229"/>
      <c r="AE352" s="234">
        <f>+'Plan de Accion apoyo transversa'!BX124</f>
        <v>0</v>
      </c>
      <c r="AF352" s="324">
        <f>+'Plan de Accion apoyo transversa'!CK124</f>
        <v>0</v>
      </c>
      <c r="AG352" s="228">
        <f t="shared" ref="AG352:AG359" si="295">IF(AF352&gt;100%,100%,AF352)</f>
        <v>0</v>
      </c>
      <c r="AH352" s="324">
        <f>+'Plan de Accion apoyo transversa'!CB124</f>
        <v>0.31</v>
      </c>
      <c r="AI352" s="227">
        <f t="shared" ref="AI352:AI359" si="296">IF(AH352&gt;100%,100%,AH352)</f>
        <v>0.31</v>
      </c>
      <c r="AJ352" s="226"/>
      <c r="AL352" s="225"/>
      <c r="AM352" s="223"/>
      <c r="AN352" s="220"/>
      <c r="AO352" s="224"/>
      <c r="AP352" s="223"/>
      <c r="AQ352" s="220"/>
      <c r="AR352" s="223"/>
      <c r="AS352" s="223"/>
      <c r="AT352" s="220"/>
      <c r="AU352" s="223"/>
      <c r="AV352" s="223"/>
      <c r="AW352" s="218"/>
      <c r="AX352" s="222"/>
      <c r="AZ352" s="225"/>
      <c r="BA352" s="223"/>
      <c r="BB352" s="220"/>
      <c r="BC352" s="224"/>
      <c r="BD352" s="223"/>
      <c r="BE352" s="220"/>
      <c r="BF352" s="223"/>
      <c r="BG352" s="223"/>
      <c r="BH352" s="220"/>
      <c r="BI352" s="223"/>
      <c r="BJ352" s="223"/>
      <c r="BK352" s="218"/>
      <c r="BL352" s="222"/>
      <c r="BN352" s="225"/>
      <c r="BO352" s="223"/>
      <c r="BP352" s="220"/>
      <c r="BQ352" s="224"/>
      <c r="BR352" s="223"/>
      <c r="BS352" s="220"/>
      <c r="BT352" s="223"/>
      <c r="BU352" s="223"/>
      <c r="BV352" s="220"/>
      <c r="BW352" s="223"/>
      <c r="BX352" s="223"/>
      <c r="BY352" s="218"/>
      <c r="BZ352" s="222"/>
      <c r="CB352" s="225"/>
      <c r="CC352" s="223"/>
      <c r="CD352" s="220"/>
      <c r="CE352" s="224"/>
      <c r="CF352" s="223"/>
      <c r="CG352" s="220"/>
      <c r="CH352" s="223"/>
      <c r="CI352" s="223"/>
      <c r="CJ352" s="220"/>
      <c r="CK352" s="223"/>
      <c r="CL352" s="223"/>
      <c r="CM352" s="218"/>
      <c r="CN352" s="222"/>
    </row>
    <row r="353" spans="2:92" ht="93.75" customHeight="1" x14ac:dyDescent="0.2">
      <c r="B353" s="1229"/>
      <c r="C353" s="1231"/>
      <c r="D353" s="1214" t="s">
        <v>204</v>
      </c>
      <c r="E353" s="1214" t="s">
        <v>230</v>
      </c>
      <c r="F353" s="320" t="s">
        <v>1195</v>
      </c>
      <c r="G353" s="328" t="str">
        <f>+'Plan de Accion apoyo transversa'!X145</f>
        <v>Conjunto de datos abiertos de la DGTIC.</v>
      </c>
      <c r="H353" s="240" t="str">
        <f>+'Plan de Accion apoyo transversa'!AK145</f>
        <v># Conjuntos de datos abiertos publicados</v>
      </c>
      <c r="J353" s="234">
        <f>+'Plan de Accion apoyo transversa'!AT145</f>
        <v>0</v>
      </c>
      <c r="K353" s="503" t="str">
        <f>+'Plan de Accion apoyo transversa'!CE145</f>
        <v>No Prog ni Ejec</v>
      </c>
      <c r="L353" s="503" t="s">
        <v>204</v>
      </c>
      <c r="M353" s="503">
        <f>+'Plan de Accion apoyo transversa'!AX145</f>
        <v>0</v>
      </c>
      <c r="N353" s="503">
        <f t="shared" si="271"/>
        <v>0</v>
      </c>
      <c r="O353" s="505" t="s">
        <v>204</v>
      </c>
      <c r="P353" s="229"/>
      <c r="Q353" s="234">
        <f>+'Plan de Accion apoyo transversa'!BD145</f>
        <v>0</v>
      </c>
      <c r="R353" s="324" t="str">
        <f>+'Plan de Accion apoyo transversa'!CG145</f>
        <v>No Prog ni Ejec</v>
      </c>
      <c r="S353" s="266" t="s">
        <v>204</v>
      </c>
      <c r="T353" s="324">
        <f>+'Plan de Accion apoyo transversa'!BH145</f>
        <v>0</v>
      </c>
      <c r="U353" s="324">
        <f t="shared" si="292"/>
        <v>0</v>
      </c>
      <c r="V353" s="227" t="s">
        <v>204</v>
      </c>
      <c r="W353" s="229"/>
      <c r="X353" s="234">
        <f>+'Plan de Accion apoyo transversa'!BN145</f>
        <v>0</v>
      </c>
      <c r="Y353" s="324" t="str">
        <f>+'Plan de Accion apoyo transversa'!CI145</f>
        <v>No Prog ni Ejec</v>
      </c>
      <c r="Z353" s="228" t="s">
        <v>204</v>
      </c>
      <c r="AA353" s="233">
        <f>+'Plan de Accion apoyo transversa'!BR145</f>
        <v>0</v>
      </c>
      <c r="AB353" s="233">
        <f t="shared" si="294"/>
        <v>0</v>
      </c>
      <c r="AC353" s="232" t="s">
        <v>204</v>
      </c>
      <c r="AD353" s="229"/>
      <c r="AE353" s="234">
        <f>+'Plan de Accion apoyo transversa'!BX145</f>
        <v>0</v>
      </c>
      <c r="AF353" s="324">
        <f>+'Plan de Accion apoyo transversa'!CK145</f>
        <v>0</v>
      </c>
      <c r="AG353" s="228">
        <f t="shared" si="295"/>
        <v>0</v>
      </c>
      <c r="AH353" s="324">
        <f>+'Plan de Accion apoyo transversa'!CB145</f>
        <v>0</v>
      </c>
      <c r="AI353" s="227">
        <f t="shared" si="296"/>
        <v>0</v>
      </c>
      <c r="AJ353" s="334"/>
      <c r="AL353" s="333"/>
      <c r="AM353" s="329"/>
      <c r="AN353" s="220"/>
      <c r="AO353" s="330"/>
      <c r="AP353" s="329"/>
      <c r="AQ353" s="220"/>
      <c r="AR353" s="329"/>
      <c r="AS353" s="329"/>
      <c r="AT353" s="220"/>
      <c r="AU353" s="329"/>
      <c r="AV353" s="329"/>
      <c r="AW353" s="218"/>
      <c r="AX353" s="332"/>
      <c r="AZ353" s="333"/>
      <c r="BA353" s="329"/>
      <c r="BB353" s="220"/>
      <c r="BC353" s="330"/>
      <c r="BD353" s="329"/>
      <c r="BE353" s="220"/>
      <c r="BF353" s="329"/>
      <c r="BG353" s="329"/>
      <c r="BH353" s="220"/>
      <c r="BI353" s="329"/>
      <c r="BJ353" s="329"/>
      <c r="BK353" s="218"/>
      <c r="BL353" s="332"/>
      <c r="BN353" s="333"/>
      <c r="BO353" s="329"/>
      <c r="BP353" s="220"/>
      <c r="BQ353" s="330"/>
      <c r="BR353" s="329"/>
      <c r="BS353" s="220"/>
      <c r="BT353" s="329"/>
      <c r="BU353" s="329"/>
      <c r="BV353" s="220"/>
      <c r="BW353" s="329"/>
      <c r="BX353" s="329"/>
      <c r="BY353" s="218"/>
      <c r="BZ353" s="332"/>
      <c r="CB353" s="333"/>
      <c r="CC353" s="329"/>
      <c r="CD353" s="220"/>
      <c r="CE353" s="330"/>
      <c r="CF353" s="329"/>
      <c r="CG353" s="220"/>
      <c r="CH353" s="329"/>
      <c r="CI353" s="329"/>
      <c r="CJ353" s="220"/>
      <c r="CK353" s="329"/>
      <c r="CL353" s="329"/>
      <c r="CM353" s="218"/>
      <c r="CN353" s="332"/>
    </row>
    <row r="354" spans="2:92" ht="68.25" customHeight="1" x14ac:dyDescent="0.2">
      <c r="B354" s="1229"/>
      <c r="C354" s="1231"/>
      <c r="D354" s="1215"/>
      <c r="E354" s="1215"/>
      <c r="F354" s="1202" t="s">
        <v>1196</v>
      </c>
      <c r="G354" s="328" t="str">
        <f>+'Plan de Accion apoyo transversa'!X150</f>
        <v>Campaña de sensibilización en Seguridad y Privacidad de la Información</v>
      </c>
      <c r="H354" s="240" t="str">
        <f>+'Plan de Accion apoyo transversa'!AK150</f>
        <v xml:space="preserve"># Campañas de sensibilización en Seguridad y Privacidad de la Información </v>
      </c>
      <c r="J354" s="234">
        <f>+'Plan de Accion apoyo transversa'!AT150</f>
        <v>1</v>
      </c>
      <c r="K354" s="503">
        <f>+'Plan de Accion apoyo transversa'!CE150</f>
        <v>1</v>
      </c>
      <c r="L354" s="503">
        <f>IF(K354&gt;100%,100%,K354)</f>
        <v>1</v>
      </c>
      <c r="M354" s="503">
        <f>+'Plan de Accion apoyo transversa'!AX150</f>
        <v>0.25</v>
      </c>
      <c r="N354" s="503">
        <f t="shared" si="271"/>
        <v>0.25</v>
      </c>
      <c r="O354" s="505">
        <f>+N354</f>
        <v>0.25</v>
      </c>
      <c r="P354" s="229"/>
      <c r="Q354" s="234">
        <f>+'Plan de Accion apoyo transversa'!BD150</f>
        <v>1</v>
      </c>
      <c r="R354" s="324">
        <f>+'Plan de Accion apoyo transversa'!CG150</f>
        <v>1</v>
      </c>
      <c r="S354" s="266">
        <f t="shared" si="291"/>
        <v>1</v>
      </c>
      <c r="T354" s="324">
        <f>+'Plan de Accion apoyo transversa'!BH150</f>
        <v>0.5</v>
      </c>
      <c r="U354" s="324">
        <f t="shared" si="292"/>
        <v>0.5</v>
      </c>
      <c r="V354" s="227">
        <f t="shared" si="293"/>
        <v>0.5</v>
      </c>
      <c r="W354" s="229"/>
      <c r="X354" s="234">
        <f>+'Plan de Accion apoyo transversa'!BN150</f>
        <v>0</v>
      </c>
      <c r="Y354" s="324">
        <f>+'Plan de Accion apoyo transversa'!CI150</f>
        <v>0</v>
      </c>
      <c r="Z354" s="228">
        <f>IF(Y354&gt;100%,100%,Y354)</f>
        <v>0</v>
      </c>
      <c r="AA354" s="233">
        <f>+'Plan de Accion apoyo transversa'!BR150</f>
        <v>0.5</v>
      </c>
      <c r="AB354" s="233">
        <f t="shared" si="294"/>
        <v>0.5</v>
      </c>
      <c r="AC354" s="232">
        <f t="shared" ref="AC354:AC359" si="297">+AB354</f>
        <v>0.5</v>
      </c>
      <c r="AD354" s="229"/>
      <c r="AE354" s="234">
        <f>+'Plan de Accion apoyo transversa'!BX150</f>
        <v>0</v>
      </c>
      <c r="AF354" s="324">
        <f>+'Plan de Accion apoyo transversa'!CK150</f>
        <v>0</v>
      </c>
      <c r="AG354" s="228">
        <f t="shared" si="295"/>
        <v>0</v>
      </c>
      <c r="AH354" s="324">
        <f>+'Plan de Accion apoyo transversa'!CB150</f>
        <v>0.5</v>
      </c>
      <c r="AI354" s="227">
        <f t="shared" si="296"/>
        <v>0.5</v>
      </c>
      <c r="AJ354" s="334"/>
      <c r="AL354" s="333"/>
      <c r="AM354" s="329"/>
      <c r="AN354" s="220"/>
      <c r="AO354" s="330"/>
      <c r="AP354" s="329"/>
      <c r="AQ354" s="220"/>
      <c r="AR354" s="329"/>
      <c r="AS354" s="329"/>
      <c r="AT354" s="220"/>
      <c r="AU354" s="329"/>
      <c r="AV354" s="329"/>
      <c r="AW354" s="218"/>
      <c r="AX354" s="332"/>
      <c r="AZ354" s="333"/>
      <c r="BA354" s="329"/>
      <c r="BB354" s="220"/>
      <c r="BC354" s="330"/>
      <c r="BD354" s="329"/>
      <c r="BE354" s="220"/>
      <c r="BF354" s="329"/>
      <c r="BG354" s="329"/>
      <c r="BH354" s="220"/>
      <c r="BI354" s="329"/>
      <c r="BJ354" s="329"/>
      <c r="BK354" s="218"/>
      <c r="BL354" s="332"/>
      <c r="BN354" s="333"/>
      <c r="BO354" s="329"/>
      <c r="BP354" s="220"/>
      <c r="BQ354" s="330"/>
      <c r="BR354" s="329"/>
      <c r="BS354" s="220"/>
      <c r="BT354" s="329"/>
      <c r="BU354" s="329"/>
      <c r="BV354" s="220"/>
      <c r="BW354" s="329"/>
      <c r="BX354" s="329"/>
      <c r="BY354" s="218"/>
      <c r="BZ354" s="332"/>
      <c r="CB354" s="333"/>
      <c r="CC354" s="329"/>
      <c r="CD354" s="220"/>
      <c r="CE354" s="330"/>
      <c r="CF354" s="329"/>
      <c r="CG354" s="220"/>
      <c r="CH354" s="329"/>
      <c r="CI354" s="329"/>
      <c r="CJ354" s="220"/>
      <c r="CK354" s="329"/>
      <c r="CL354" s="329"/>
      <c r="CM354" s="218"/>
      <c r="CN354" s="332"/>
    </row>
    <row r="355" spans="2:92" ht="69.75" customHeight="1" x14ac:dyDescent="0.2">
      <c r="B355" s="1229"/>
      <c r="C355" s="1231"/>
      <c r="D355" s="1215"/>
      <c r="E355" s="1216"/>
      <c r="F355" s="1203"/>
      <c r="G355" s="328" t="str">
        <f>+'Plan de Accion apoyo transversa'!X151</f>
        <v>Jornadas de capacitación frente a temas de Seguridad y Privacidad de la Información</v>
      </c>
      <c r="H355" s="240" t="str">
        <f>+'Plan de Accion apoyo transversa'!AK151</f>
        <v xml:space="preserve"># Jornadas de Capacitación en Seguridad y Privacidad de la Información para Servidores Públicos y Contratistas </v>
      </c>
      <c r="J355" s="234">
        <f>+'Plan de Accion apoyo transversa'!AT151</f>
        <v>0</v>
      </c>
      <c r="K355" s="503" t="str">
        <f>+'Plan de Accion apoyo transversa'!CE151</f>
        <v>No Prog ni Ejec</v>
      </c>
      <c r="L355" s="503" t="s">
        <v>204</v>
      </c>
      <c r="M355" s="503">
        <f>+'Plan de Accion apoyo transversa'!AX151</f>
        <v>0</v>
      </c>
      <c r="N355" s="503">
        <f t="shared" si="271"/>
        <v>0</v>
      </c>
      <c r="O355" s="505" t="s">
        <v>204</v>
      </c>
      <c r="P355" s="229"/>
      <c r="Q355" s="234">
        <f>+'Plan de Accion apoyo transversa'!BD151</f>
        <v>1</v>
      </c>
      <c r="R355" s="324">
        <f>+'Plan de Accion apoyo transversa'!CG151</f>
        <v>1</v>
      </c>
      <c r="S355" s="266">
        <f t="shared" si="291"/>
        <v>1</v>
      </c>
      <c r="T355" s="324">
        <f>+'Plan de Accion apoyo transversa'!BH151</f>
        <v>0.5</v>
      </c>
      <c r="U355" s="324">
        <f t="shared" si="292"/>
        <v>0.5</v>
      </c>
      <c r="V355" s="227">
        <f t="shared" si="293"/>
        <v>0.5</v>
      </c>
      <c r="W355" s="229"/>
      <c r="X355" s="234">
        <f>+'Plan de Accion apoyo transversa'!BN151</f>
        <v>0</v>
      </c>
      <c r="Y355" s="324" t="str">
        <f>+'Plan de Accion apoyo transversa'!CI151</f>
        <v>No Prog ni Ejec</v>
      </c>
      <c r="Z355" s="228" t="s">
        <v>204</v>
      </c>
      <c r="AA355" s="233">
        <f>+'Plan de Accion apoyo transversa'!BR151</f>
        <v>0.5</v>
      </c>
      <c r="AB355" s="233">
        <f t="shared" si="294"/>
        <v>0.5</v>
      </c>
      <c r="AC355" s="232">
        <f t="shared" si="297"/>
        <v>0.5</v>
      </c>
      <c r="AD355" s="229"/>
      <c r="AE355" s="234">
        <f>+'Plan de Accion apoyo transversa'!BX151</f>
        <v>0</v>
      </c>
      <c r="AF355" s="324">
        <f>+'Plan de Accion apoyo transversa'!CK151</f>
        <v>0</v>
      </c>
      <c r="AG355" s="228">
        <f t="shared" si="295"/>
        <v>0</v>
      </c>
      <c r="AH355" s="324">
        <f>+'Plan de Accion apoyo transversa'!CB151</f>
        <v>0.5</v>
      </c>
      <c r="AI355" s="227">
        <f t="shared" si="296"/>
        <v>0.5</v>
      </c>
      <c r="AJ355" s="334"/>
      <c r="AL355" s="333"/>
      <c r="AM355" s="329"/>
      <c r="AN355" s="220"/>
      <c r="AO355" s="330"/>
      <c r="AP355" s="329"/>
      <c r="AQ355" s="220"/>
      <c r="AR355" s="329"/>
      <c r="AS355" s="329"/>
      <c r="AT355" s="220"/>
      <c r="AU355" s="329"/>
      <c r="AV355" s="329"/>
      <c r="AW355" s="218"/>
      <c r="AX355" s="332"/>
      <c r="AZ355" s="333"/>
      <c r="BA355" s="329"/>
      <c r="BB355" s="220"/>
      <c r="BC355" s="330"/>
      <c r="BD355" s="329"/>
      <c r="BE355" s="220"/>
      <c r="BF355" s="329"/>
      <c r="BG355" s="329"/>
      <c r="BH355" s="220"/>
      <c r="BI355" s="329"/>
      <c r="BJ355" s="329"/>
      <c r="BK355" s="218"/>
      <c r="BL355" s="332"/>
      <c r="BN355" s="333"/>
      <c r="BO355" s="329"/>
      <c r="BP355" s="220"/>
      <c r="BQ355" s="330"/>
      <c r="BR355" s="329"/>
      <c r="BS355" s="220"/>
      <c r="BT355" s="329"/>
      <c r="BU355" s="329"/>
      <c r="BV355" s="220"/>
      <c r="BW355" s="329"/>
      <c r="BX355" s="329"/>
      <c r="BY355" s="218"/>
      <c r="BZ355" s="332"/>
      <c r="CB355" s="333"/>
      <c r="CC355" s="329"/>
      <c r="CD355" s="220"/>
      <c r="CE355" s="330"/>
      <c r="CF355" s="329"/>
      <c r="CG355" s="220"/>
      <c r="CH355" s="329"/>
      <c r="CI355" s="329"/>
      <c r="CJ355" s="220"/>
      <c r="CK355" s="329"/>
      <c r="CL355" s="329"/>
      <c r="CM355" s="218"/>
      <c r="CN355" s="332"/>
    </row>
    <row r="356" spans="2:92" ht="69.75" customHeight="1" x14ac:dyDescent="0.2">
      <c r="B356" s="1229"/>
      <c r="C356" s="1231"/>
      <c r="D356" s="1216"/>
      <c r="E356" s="941" t="s">
        <v>1</v>
      </c>
      <c r="F356" s="547" t="s">
        <v>1195</v>
      </c>
      <c r="G356" s="548" t="str">
        <f>+'Plan de Accion apoyo transversa'!X145</f>
        <v>Conjunto de datos abiertos de la DGTIC.</v>
      </c>
      <c r="H356" s="240" t="str">
        <f>+'Plan de Accion apoyo transversa'!AK145</f>
        <v># Conjuntos de datos abiertos publicados</v>
      </c>
      <c r="J356" s="234">
        <f>+'Plan de Accion apoyo transversa'!AT145</f>
        <v>0</v>
      </c>
      <c r="K356" s="549" t="str">
        <f>+'Plan de Accion apoyo transversa'!CE145</f>
        <v>No Prog ni Ejec</v>
      </c>
      <c r="L356" s="549" t="s">
        <v>204</v>
      </c>
      <c r="M356" s="549">
        <f>+'Plan de Accion apoyo transversa'!AX145</f>
        <v>0</v>
      </c>
      <c r="N356" s="549">
        <f>IF(M356&gt;100%,100%,M356)</f>
        <v>0</v>
      </c>
      <c r="O356" s="550" t="s">
        <v>204</v>
      </c>
      <c r="P356" s="229"/>
      <c r="Q356" s="234">
        <f>+'Plan de Accion apoyo transversa'!BD145</f>
        <v>0</v>
      </c>
      <c r="R356" s="549" t="str">
        <f>+'Plan de Accion apoyo transversa'!CG145</f>
        <v>No Prog ni Ejec</v>
      </c>
      <c r="S356" s="266" t="s">
        <v>204</v>
      </c>
      <c r="T356" s="549">
        <f>+'Plan de Accion apoyo transversa'!BH145</f>
        <v>0</v>
      </c>
      <c r="U356" s="549">
        <f t="shared" si="292"/>
        <v>0</v>
      </c>
      <c r="V356" s="227" t="s">
        <v>204</v>
      </c>
      <c r="W356" s="229"/>
      <c r="X356" s="234">
        <f>+'Plan de Accion apoyo transversa'!BN145</f>
        <v>0</v>
      </c>
      <c r="Y356" s="549" t="str">
        <f>+'Plan de Accion apoyo transversa'!CI145</f>
        <v>No Prog ni Ejec</v>
      </c>
      <c r="Z356" s="228" t="s">
        <v>204</v>
      </c>
      <c r="AA356" s="233">
        <f>+'Plan de Accion apoyo transversa'!BR145</f>
        <v>0</v>
      </c>
      <c r="AB356" s="233">
        <f t="shared" si="294"/>
        <v>0</v>
      </c>
      <c r="AC356" s="232" t="s">
        <v>204</v>
      </c>
      <c r="AD356" s="229"/>
      <c r="AE356" s="234">
        <f>+'Plan de Accion apoyo transversa'!BX145</f>
        <v>0</v>
      </c>
      <c r="AF356" s="549" t="s">
        <v>180</v>
      </c>
      <c r="AG356" s="228" t="s">
        <v>204</v>
      </c>
      <c r="AH356" s="549" t="s">
        <v>204</v>
      </c>
      <c r="AI356" s="227" t="s">
        <v>204</v>
      </c>
      <c r="AJ356" s="552"/>
      <c r="AL356" s="555"/>
      <c r="AM356" s="551"/>
      <c r="AN356" s="220"/>
      <c r="AO356" s="553"/>
      <c r="AP356" s="551"/>
      <c r="AQ356" s="220"/>
      <c r="AR356" s="551"/>
      <c r="AS356" s="551"/>
      <c r="AT356" s="220"/>
      <c r="AU356" s="551"/>
      <c r="AV356" s="551"/>
      <c r="AW356" s="218"/>
      <c r="AX356" s="556"/>
      <c r="AZ356" s="555"/>
      <c r="BA356" s="551"/>
      <c r="BB356" s="220"/>
      <c r="BC356" s="553"/>
      <c r="BD356" s="551"/>
      <c r="BE356" s="220"/>
      <c r="BF356" s="551"/>
      <c r="BG356" s="551"/>
      <c r="BH356" s="220"/>
      <c r="BI356" s="551"/>
      <c r="BJ356" s="551"/>
      <c r="BK356" s="218"/>
      <c r="BL356" s="556"/>
      <c r="BN356" s="555"/>
      <c r="BO356" s="551"/>
      <c r="BP356" s="220"/>
      <c r="BQ356" s="553"/>
      <c r="BR356" s="551"/>
      <c r="BS356" s="220"/>
      <c r="BT356" s="551"/>
      <c r="BU356" s="551"/>
      <c r="BV356" s="220"/>
      <c r="BW356" s="551"/>
      <c r="BX356" s="551"/>
      <c r="BY356" s="218"/>
      <c r="BZ356" s="556"/>
      <c r="CB356" s="555"/>
      <c r="CC356" s="551"/>
      <c r="CD356" s="220"/>
      <c r="CE356" s="553"/>
      <c r="CF356" s="551"/>
      <c r="CG356" s="220"/>
      <c r="CH356" s="551"/>
      <c r="CI356" s="551"/>
      <c r="CJ356" s="220"/>
      <c r="CK356" s="551"/>
      <c r="CL356" s="551"/>
      <c r="CM356" s="218"/>
      <c r="CN356" s="556"/>
    </row>
    <row r="357" spans="2:92" ht="69.75" customHeight="1" x14ac:dyDescent="0.2">
      <c r="B357" s="1229"/>
      <c r="C357" s="1231"/>
      <c r="D357" s="361" t="s">
        <v>204</v>
      </c>
      <c r="E357" s="363" t="s">
        <v>3</v>
      </c>
      <c r="F357" s="362" t="s">
        <v>330</v>
      </c>
      <c r="G357" s="335" t="str">
        <f>+'Plan de Accion apoyo transversa'!X48</f>
        <v>Boletines de Autocontrol con mensajes o actividades de promoción del  autocontrol para los funcionarios de ADRES.</v>
      </c>
      <c r="H357" s="231" t="str">
        <f>+'Plan de Accion apoyo transversa'!AK48</f>
        <v># Boletines de Autocontrol socializados con los funcionarios de la ADRES 
Indicador acumulado</v>
      </c>
      <c r="J357" s="234">
        <f>+'Plan de Accion apoyo transversa'!AT48</f>
        <v>3</v>
      </c>
      <c r="K357" s="503">
        <f>+'Plan de Accion apoyo transversa'!CE48</f>
        <v>1</v>
      </c>
      <c r="L357" s="503">
        <f>IF(K357&gt;100%,100%,K357)</f>
        <v>1</v>
      </c>
      <c r="M357" s="503">
        <f>+'Plan de Accion apoyo transversa'!AX48</f>
        <v>0.25</v>
      </c>
      <c r="N357" s="503">
        <f>IF(M357&gt;100%,100%,M357)</f>
        <v>0.25</v>
      </c>
      <c r="O357" s="505">
        <f>+N357</f>
        <v>0.25</v>
      </c>
      <c r="P357" s="229"/>
      <c r="Q357" s="234">
        <f>+'Plan de Accion apoyo transversa'!BD48</f>
        <v>3</v>
      </c>
      <c r="R357" s="266">
        <f>+'Plan de Accion apoyo transversa'!CG48</f>
        <v>1</v>
      </c>
      <c r="S357" s="228">
        <f>IF(R357&gt;100%,100%,R357)</f>
        <v>1</v>
      </c>
      <c r="T357" s="324">
        <f>+'Plan de Accion apoyo transversa'!BH48</f>
        <v>0.5</v>
      </c>
      <c r="U357" s="324">
        <f t="shared" si="292"/>
        <v>0.5</v>
      </c>
      <c r="V357" s="227">
        <f t="shared" si="293"/>
        <v>0.5</v>
      </c>
      <c r="W357" s="229"/>
      <c r="X357" s="234">
        <f>+'Plan de Accion apoyo transversa'!BN48</f>
        <v>0</v>
      </c>
      <c r="Y357" s="266">
        <f>+'Plan de Accion apoyo transversa'!CI48</f>
        <v>0</v>
      </c>
      <c r="Z357" s="228">
        <f>IF(Y357&gt;100%,100%,Y357)</f>
        <v>0</v>
      </c>
      <c r="AA357" s="233">
        <f>+'Plan de Accion apoyo transversa'!BR48</f>
        <v>0.5</v>
      </c>
      <c r="AB357" s="233">
        <f t="shared" si="294"/>
        <v>0.5</v>
      </c>
      <c r="AC357" s="232">
        <f t="shared" si="297"/>
        <v>0.5</v>
      </c>
      <c r="AD357" s="229"/>
      <c r="AE357" s="234">
        <f>+'Plan de Accion apoyo transversa'!BX48</f>
        <v>0</v>
      </c>
      <c r="AF357" s="266">
        <f>+'Plan de Accion apoyo transversa'!CK48</f>
        <v>0</v>
      </c>
      <c r="AG357" s="228">
        <f>IF(AF357&gt;100%,100%,AF357)</f>
        <v>0</v>
      </c>
      <c r="AH357" s="266">
        <f>+'Plan de Accion apoyo transversa'!CB48</f>
        <v>0.5</v>
      </c>
      <c r="AI357" s="227">
        <f t="shared" si="296"/>
        <v>0.5</v>
      </c>
      <c r="AJ357" s="368"/>
      <c r="AL357" s="367"/>
      <c r="AM357" s="364"/>
      <c r="AN357" s="220"/>
      <c r="AO357" s="365"/>
      <c r="AP357" s="364"/>
      <c r="AQ357" s="220"/>
      <c r="AR357" s="364"/>
      <c r="AS357" s="364"/>
      <c r="AT357" s="220"/>
      <c r="AU357" s="364"/>
      <c r="AV357" s="364"/>
      <c r="AW357" s="218"/>
      <c r="AX357" s="366"/>
      <c r="AZ357" s="367"/>
      <c r="BA357" s="364"/>
      <c r="BB357" s="220"/>
      <c r="BC357" s="365"/>
      <c r="BD357" s="364"/>
      <c r="BE357" s="220"/>
      <c r="BF357" s="364"/>
      <c r="BG357" s="364"/>
      <c r="BH357" s="220"/>
      <c r="BI357" s="364"/>
      <c r="BJ357" s="364"/>
      <c r="BK357" s="218"/>
      <c r="BL357" s="366"/>
      <c r="BN357" s="367"/>
      <c r="BO357" s="364"/>
      <c r="BP357" s="220"/>
      <c r="BQ357" s="365"/>
      <c r="BR357" s="364"/>
      <c r="BS357" s="220"/>
      <c r="BT357" s="364"/>
      <c r="BU357" s="364"/>
      <c r="BV357" s="220"/>
      <c r="BW357" s="364"/>
      <c r="BX357" s="364"/>
      <c r="BY357" s="218"/>
      <c r="BZ357" s="366"/>
      <c r="CB357" s="367"/>
      <c r="CC357" s="364"/>
      <c r="CD357" s="220"/>
      <c r="CE357" s="365"/>
      <c r="CF357" s="364"/>
      <c r="CG357" s="220"/>
      <c r="CH357" s="364"/>
      <c r="CI357" s="364"/>
      <c r="CJ357" s="220"/>
      <c r="CK357" s="364"/>
      <c r="CL357" s="364"/>
      <c r="CM357" s="218"/>
      <c r="CN357" s="366"/>
    </row>
    <row r="358" spans="2:92" ht="69.75" customHeight="1" x14ac:dyDescent="0.2">
      <c r="B358" s="1229"/>
      <c r="C358" s="1231"/>
      <c r="D358" s="1214" t="s">
        <v>204</v>
      </c>
      <c r="E358" s="1233" t="s">
        <v>231</v>
      </c>
      <c r="F358" s="1202" t="s">
        <v>1198</v>
      </c>
      <c r="G358" s="328" t="str">
        <f>+'Plan de Accion apoyo transversa'!X154</f>
        <v>Jornadas de socialización de la Política actualizada a funcionarios y contratistas</v>
      </c>
      <c r="H358" s="240" t="str">
        <f>+'Plan de Accion apoyo transversa'!AK154</f>
        <v># Políticas socializadas</v>
      </c>
      <c r="J358" s="234">
        <f>+'Plan de Accion apoyo transversa'!AT154</f>
        <v>0</v>
      </c>
      <c r="K358" s="503" t="str">
        <f>+'Plan de Accion apoyo transversa'!CE154</f>
        <v>No Prog ni Ejec</v>
      </c>
      <c r="L358" s="503" t="s">
        <v>204</v>
      </c>
      <c r="M358" s="503">
        <f>+'Plan de Accion apoyo transversa'!AX154</f>
        <v>0</v>
      </c>
      <c r="N358" s="503">
        <f t="shared" si="271"/>
        <v>0</v>
      </c>
      <c r="O358" s="505" t="s">
        <v>204</v>
      </c>
      <c r="P358" s="229"/>
      <c r="Q358" s="234">
        <f>+'Plan de Accion apoyo transversa'!BD154</f>
        <v>1</v>
      </c>
      <c r="R358" s="324">
        <f>+'Plan de Accion apoyo transversa'!CG154</f>
        <v>1</v>
      </c>
      <c r="S358" s="266">
        <f t="shared" si="291"/>
        <v>1</v>
      </c>
      <c r="T358" s="324">
        <f>+'Plan de Accion apoyo transversa'!BH154</f>
        <v>1</v>
      </c>
      <c r="U358" s="324">
        <f t="shared" si="292"/>
        <v>1</v>
      </c>
      <c r="V358" s="227">
        <f t="shared" si="293"/>
        <v>1</v>
      </c>
      <c r="W358" s="229"/>
      <c r="X358" s="234">
        <f>+'Plan de Accion apoyo transversa'!BN154</f>
        <v>0</v>
      </c>
      <c r="Y358" s="324" t="str">
        <f>+'Plan de Accion apoyo transversa'!CI154</f>
        <v>No Prog ni Ejec</v>
      </c>
      <c r="Z358" s="228" t="s">
        <v>204</v>
      </c>
      <c r="AA358" s="233">
        <f>+'Plan de Accion apoyo transversa'!BR154</f>
        <v>1</v>
      </c>
      <c r="AB358" s="233">
        <f t="shared" si="294"/>
        <v>1</v>
      </c>
      <c r="AC358" s="232">
        <f t="shared" si="297"/>
        <v>1</v>
      </c>
      <c r="AD358" s="229"/>
      <c r="AE358" s="234">
        <f>+'Plan de Accion apoyo transversa'!BX154</f>
        <v>0</v>
      </c>
      <c r="AF358" s="324" t="str">
        <f>+'Plan de Accion apoyo transversa'!CK154</f>
        <v>No Prog ni Ejec</v>
      </c>
      <c r="AG358" s="228" t="s">
        <v>204</v>
      </c>
      <c r="AH358" s="324">
        <f>+'Plan de Accion apoyo transversa'!CB154</f>
        <v>1</v>
      </c>
      <c r="AI358" s="227">
        <f t="shared" si="296"/>
        <v>1</v>
      </c>
      <c r="AJ358" s="334"/>
      <c r="AL358" s="333"/>
      <c r="AM358" s="329"/>
      <c r="AN358" s="220"/>
      <c r="AO358" s="330"/>
      <c r="AP358" s="329"/>
      <c r="AQ358" s="220"/>
      <c r="AR358" s="329"/>
      <c r="AS358" s="329"/>
      <c r="AT358" s="220"/>
      <c r="AU358" s="329"/>
      <c r="AV358" s="329"/>
      <c r="AW358" s="218"/>
      <c r="AX358" s="332"/>
      <c r="AZ358" s="333"/>
      <c r="BA358" s="329"/>
      <c r="BB358" s="220"/>
      <c r="BC358" s="330"/>
      <c r="BD358" s="329"/>
      <c r="BE358" s="220"/>
      <c r="BF358" s="329"/>
      <c r="BG358" s="329"/>
      <c r="BH358" s="220"/>
      <c r="BI358" s="329"/>
      <c r="BJ358" s="329"/>
      <c r="BK358" s="218"/>
      <c r="BL358" s="332"/>
      <c r="BN358" s="333"/>
      <c r="BO358" s="329"/>
      <c r="BP358" s="220"/>
      <c r="BQ358" s="330"/>
      <c r="BR358" s="329"/>
      <c r="BS358" s="220"/>
      <c r="BT358" s="329"/>
      <c r="BU358" s="329"/>
      <c r="BV358" s="220"/>
      <c r="BW358" s="329"/>
      <c r="BX358" s="329"/>
      <c r="BY358" s="218"/>
      <c r="BZ358" s="332"/>
      <c r="CB358" s="333"/>
      <c r="CC358" s="329"/>
      <c r="CD358" s="220"/>
      <c r="CE358" s="330"/>
      <c r="CF358" s="329"/>
      <c r="CG358" s="220"/>
      <c r="CH358" s="329"/>
      <c r="CI358" s="329"/>
      <c r="CJ358" s="220"/>
      <c r="CK358" s="329"/>
      <c r="CL358" s="329"/>
      <c r="CM358" s="218"/>
      <c r="CN358" s="332"/>
    </row>
    <row r="359" spans="2:92" ht="69.75" customHeight="1" thickBot="1" x14ac:dyDescent="0.25">
      <c r="B359" s="1229"/>
      <c r="C359" s="1236"/>
      <c r="D359" s="1216"/>
      <c r="E359" s="1235"/>
      <c r="F359" s="1203"/>
      <c r="G359" s="328" t="str">
        <f>+'Plan de Accion apoyo transversa'!X158</f>
        <v xml:space="preserve">Listas de asistencia a reuniones de autocontrol </v>
      </c>
      <c r="H359" s="240" t="str">
        <f>+'Plan de Accion apoyo transversa'!AK158</f>
        <v xml:space="preserve"># Listas de asistencia a reuniones de autocontrol </v>
      </c>
      <c r="J359" s="234">
        <f>+'Plan de Accion apoyo transversa'!AT158</f>
        <v>0</v>
      </c>
      <c r="K359" s="503" t="str">
        <f>+'Plan de Accion apoyo transversa'!CE158</f>
        <v>No Prog ni Ejec</v>
      </c>
      <c r="L359" s="503" t="s">
        <v>204</v>
      </c>
      <c r="M359" s="503">
        <f>+'Plan de Accion apoyo transversa'!AX158</f>
        <v>0</v>
      </c>
      <c r="N359" s="503">
        <f t="shared" si="271"/>
        <v>0</v>
      </c>
      <c r="O359" s="505" t="s">
        <v>204</v>
      </c>
      <c r="P359" s="229"/>
      <c r="Q359" s="463">
        <f>+'Plan de Accion apoyo transversa'!BD158</f>
        <v>1</v>
      </c>
      <c r="R359" s="731">
        <f>+'Plan de Accion apoyo transversa'!CG158</f>
        <v>1</v>
      </c>
      <c r="S359" s="730">
        <f t="shared" si="291"/>
        <v>1</v>
      </c>
      <c r="T359" s="731">
        <f>+'Plan de Accion apoyo transversa'!BH158</f>
        <v>0.5</v>
      </c>
      <c r="U359" s="731">
        <f t="shared" si="292"/>
        <v>0.5</v>
      </c>
      <c r="V359" s="466">
        <f t="shared" si="293"/>
        <v>0.5</v>
      </c>
      <c r="W359" s="229"/>
      <c r="X359" s="234">
        <f>+'Plan de Accion apoyo transversa'!BN158</f>
        <v>0</v>
      </c>
      <c r="Y359" s="324" t="str">
        <f>+'Plan de Accion apoyo transversa'!CI158</f>
        <v>No Prog ni Ejec</v>
      </c>
      <c r="Z359" s="228" t="s">
        <v>204</v>
      </c>
      <c r="AA359" s="233">
        <f>+'Plan de Accion apoyo transversa'!BR158</f>
        <v>0.5</v>
      </c>
      <c r="AB359" s="233">
        <f t="shared" si="294"/>
        <v>0.5</v>
      </c>
      <c r="AC359" s="232">
        <f t="shared" si="297"/>
        <v>0.5</v>
      </c>
      <c r="AD359" s="229"/>
      <c r="AE359" s="234">
        <f>+'Plan de Accion apoyo transversa'!BX158</f>
        <v>0</v>
      </c>
      <c r="AF359" s="324">
        <f>+'Plan de Accion apoyo transversa'!CK158</f>
        <v>0</v>
      </c>
      <c r="AG359" s="228">
        <f t="shared" si="295"/>
        <v>0</v>
      </c>
      <c r="AH359" s="324">
        <f>+'Plan de Accion apoyo transversa'!CB158</f>
        <v>0.5</v>
      </c>
      <c r="AI359" s="227">
        <f t="shared" si="296"/>
        <v>0.5</v>
      </c>
      <c r="AJ359" s="334"/>
      <c r="AL359" s="333"/>
      <c r="AM359" s="329"/>
      <c r="AN359" s="220"/>
      <c r="AO359" s="330"/>
      <c r="AP359" s="329"/>
      <c r="AQ359" s="220"/>
      <c r="AR359" s="329"/>
      <c r="AS359" s="329"/>
      <c r="AT359" s="220"/>
      <c r="AU359" s="329"/>
      <c r="AV359" s="329"/>
      <c r="AW359" s="218"/>
      <c r="AX359" s="332"/>
      <c r="AZ359" s="333"/>
      <c r="BA359" s="329"/>
      <c r="BB359" s="220"/>
      <c r="BC359" s="330"/>
      <c r="BD359" s="329"/>
      <c r="BE359" s="220"/>
      <c r="BF359" s="329"/>
      <c r="BG359" s="329"/>
      <c r="BH359" s="220"/>
      <c r="BI359" s="329"/>
      <c r="BJ359" s="329"/>
      <c r="BK359" s="218"/>
      <c r="BL359" s="332"/>
      <c r="BN359" s="333"/>
      <c r="BO359" s="329"/>
      <c r="BP359" s="220"/>
      <c r="BQ359" s="330"/>
      <c r="BR359" s="329"/>
      <c r="BS359" s="220"/>
      <c r="BT359" s="329"/>
      <c r="BU359" s="329"/>
      <c r="BV359" s="220"/>
      <c r="BW359" s="329"/>
      <c r="BX359" s="329"/>
      <c r="BY359" s="218"/>
      <c r="BZ359" s="332"/>
      <c r="CB359" s="333"/>
      <c r="CC359" s="329"/>
      <c r="CD359" s="220"/>
      <c r="CE359" s="330"/>
      <c r="CF359" s="329"/>
      <c r="CG359" s="220"/>
      <c r="CH359" s="329"/>
      <c r="CI359" s="329"/>
      <c r="CJ359" s="220"/>
      <c r="CK359" s="329"/>
      <c r="CL359" s="329"/>
      <c r="CM359" s="218"/>
      <c r="CN359" s="332"/>
    </row>
    <row r="360" spans="2:92" ht="20.25" thickBot="1" x14ac:dyDescent="0.3">
      <c r="B360" s="1222" t="s">
        <v>218</v>
      </c>
      <c r="C360" s="1224"/>
      <c r="D360" s="1224"/>
      <c r="E360" s="1224"/>
      <c r="F360" s="1225"/>
      <c r="G360" s="1225"/>
      <c r="H360" s="1226"/>
      <c r="J360" s="213" t="s">
        <v>204</v>
      </c>
      <c r="K360" s="212">
        <f>AVERAGE(K305:K359)</f>
        <v>0.875</v>
      </c>
      <c r="L360" s="216">
        <f>IF(K360&gt;100%,100%,K360)</f>
        <v>0.875</v>
      </c>
      <c r="M360" s="212">
        <f>AVERAGE(M305:M359)</f>
        <v>9.5394736842105268E-2</v>
      </c>
      <c r="N360" s="212">
        <f>IF(M360&gt;25%,25%,M360)</f>
        <v>9.5394736842105268E-2</v>
      </c>
      <c r="O360" s="215">
        <f>AVERAGE(O305:O359)</f>
        <v>0.38157894736842107</v>
      </c>
      <c r="P360" s="214"/>
      <c r="Q360" s="213" t="s">
        <v>204</v>
      </c>
      <c r="R360" s="212">
        <f>AVERAGE(R305:R359)</f>
        <v>0.81818181818181823</v>
      </c>
      <c r="S360" s="216">
        <f>IF(R360&gt;100%,100%,R360)</f>
        <v>0.81818181818181823</v>
      </c>
      <c r="T360" s="212">
        <f>AVERAGE(T305:T359)</f>
        <v>0.21909147869674186</v>
      </c>
      <c r="U360" s="212">
        <f>IF(T360&gt;50%,50%,T360)</f>
        <v>0.21909147869674186</v>
      </c>
      <c r="V360" s="927">
        <f>AVERAGE(V305:V359)</f>
        <v>0.43818295739348373</v>
      </c>
      <c r="W360" s="214"/>
      <c r="X360" s="213" t="s">
        <v>204</v>
      </c>
      <c r="Y360" s="212">
        <f>AVERAGE(Y305:Y359)</f>
        <v>0</v>
      </c>
      <c r="Z360" s="216">
        <f>IF(Y360&gt;100%,100%,Y360)</f>
        <v>0</v>
      </c>
      <c r="AA360" s="212">
        <f>AVERAGE(AA305:AA359)</f>
        <v>0.21909147869674186</v>
      </c>
      <c r="AB360" s="212">
        <f>IF(AA360&gt;75%,75%,AA360)</f>
        <v>0.21909147869674186</v>
      </c>
      <c r="AC360" s="215">
        <f>AVERAGE(AC305:AC359)</f>
        <v>0.27884370015948962</v>
      </c>
      <c r="AD360" s="214"/>
      <c r="AE360" s="213" t="s">
        <v>204</v>
      </c>
      <c r="AF360" s="212">
        <f>AVERAGE(AF305:AF359)</f>
        <v>0</v>
      </c>
      <c r="AG360" s="216">
        <f>IF(AF360&gt;100%,100%,AF360)</f>
        <v>0</v>
      </c>
      <c r="AH360" s="212">
        <f>AVERAGE(AH305:AH359)</f>
        <v>0.22720597790773228</v>
      </c>
      <c r="AI360" s="215">
        <f>AVERAGE(AI305:AI359)</f>
        <v>0.22720597790773228</v>
      </c>
      <c r="AL360" s="209"/>
      <c r="AM360" s="211"/>
      <c r="AN360" s="210"/>
      <c r="AO360" s="209"/>
      <c r="AP360" s="208"/>
      <c r="AQ360" s="210"/>
      <c r="AR360" s="209"/>
      <c r="AS360" s="208"/>
      <c r="AT360" s="210"/>
      <c r="AU360" s="209"/>
      <c r="AV360" s="208"/>
      <c r="AZ360" s="209"/>
      <c r="BA360" s="211"/>
      <c r="BB360" s="210"/>
      <c r="BC360" s="209"/>
      <c r="BD360" s="208"/>
      <c r="BE360" s="210"/>
      <c r="BF360" s="209"/>
      <c r="BG360" s="208"/>
      <c r="BH360" s="210"/>
      <c r="BI360" s="209"/>
      <c r="BJ360" s="208"/>
      <c r="BN360" s="209"/>
      <c r="BO360" s="211"/>
      <c r="BP360" s="210"/>
      <c r="BQ360" s="209"/>
      <c r="BR360" s="208"/>
      <c r="BS360" s="210"/>
      <c r="BT360" s="209"/>
      <c r="BU360" s="208"/>
      <c r="BV360" s="210"/>
      <c r="BW360" s="209"/>
      <c r="BX360" s="208"/>
      <c r="CB360" s="209"/>
      <c r="CC360" s="211"/>
      <c r="CD360" s="210"/>
      <c r="CE360" s="209"/>
      <c r="CF360" s="208"/>
      <c r="CG360" s="210"/>
      <c r="CH360" s="209"/>
      <c r="CI360" s="208"/>
      <c r="CJ360" s="210"/>
      <c r="CK360" s="209"/>
      <c r="CL360" s="208"/>
    </row>
    <row r="361" spans="2:92" ht="25.5" thickBot="1" x14ac:dyDescent="0.35">
      <c r="B361" s="1222" t="s">
        <v>1164</v>
      </c>
      <c r="C361" s="1224"/>
      <c r="D361" s="1224"/>
      <c r="E361" s="1224"/>
      <c r="F361" s="1225"/>
      <c r="G361" s="1225"/>
      <c r="H361" s="1226"/>
      <c r="J361" s="206" t="str">
        <f>+J360</f>
        <v>N.A</v>
      </c>
      <c r="K361" s="204">
        <f>(K130+K203+K304+K360)/4</f>
        <v>0.75789491776426521</v>
      </c>
      <c r="L361" s="204">
        <f>(L130+L203+L304+L360)/4</f>
        <v>0.75789491776426521</v>
      </c>
      <c r="M361" s="204">
        <f>(M130+M203+M304+M360)/4</f>
        <v>0.14007688546155633</v>
      </c>
      <c r="N361" s="204">
        <f>(N130+N203+N304+N360)/4</f>
        <v>0.14007688546155633</v>
      </c>
      <c r="O361" s="201">
        <f>(O130+O203+O304+O360)/4</f>
        <v>0.28846320064876424</v>
      </c>
      <c r="P361" s="199"/>
      <c r="Q361" s="202" t="str">
        <f>+Q360</f>
        <v>N.A</v>
      </c>
      <c r="R361" s="204">
        <f>(R130+R203+R304+R360)/4</f>
        <v>0.86936095685987103</v>
      </c>
      <c r="S361" s="205">
        <f>(S130+S203+S304+S360)/4</f>
        <v>0.86936095685987103</v>
      </c>
      <c r="T361" s="204">
        <f>(T130+T203+T304+T360)/4</f>
        <v>0.31361479731096326</v>
      </c>
      <c r="U361" s="204">
        <f>(U130+U203+U304+U360)/4</f>
        <v>0.31361479731096326</v>
      </c>
      <c r="V361" s="201">
        <f>(V130+V203+V304+V360)/4</f>
        <v>0.41189995573115046</v>
      </c>
      <c r="W361" s="199"/>
      <c r="X361" s="202" t="str">
        <f>+X360</f>
        <v>N.A</v>
      </c>
      <c r="Y361" s="204">
        <f>(Y130+Y203+Y304+Y360)/4</f>
        <v>0</v>
      </c>
      <c r="Z361" s="205">
        <f>(Z130+Z203+Z304+Z360)/4</f>
        <v>0</v>
      </c>
      <c r="AA361" s="204" t="e">
        <f>(AA130+AA203+AA304+AA360)/4</f>
        <v>#VALUE!</v>
      </c>
      <c r="AB361" s="204" t="e">
        <f>(AB130+AB203+AB304+AB360)/4</f>
        <v>#VALUE!</v>
      </c>
      <c r="AC361" s="203" t="e">
        <f>(AC130+AC203+AC304+AC360)/4</f>
        <v>#VALUE!</v>
      </c>
      <c r="AD361" s="199"/>
      <c r="AE361" s="202" t="str">
        <f>+AE360</f>
        <v>N.A</v>
      </c>
      <c r="AF361" s="204">
        <f>(AF130+AF203+AF304+AF360)/4</f>
        <v>0</v>
      </c>
      <c r="AG361" s="205">
        <f>(AG130+AG203+AG304+AG360)/4</f>
        <v>0</v>
      </c>
      <c r="AH361" s="204" t="e">
        <f>(AH130+AH203+AH304+AH360)/4</f>
        <v>#VALUE!</v>
      </c>
      <c r="AI361" s="370" t="e">
        <f>(AI130+AI203+AI304+AI360)/4</f>
        <v>#VALUE!</v>
      </c>
      <c r="BG361" s="207"/>
      <c r="BH361" s="207"/>
    </row>
    <row r="362" spans="2:92" ht="25.5" thickBot="1" x14ac:dyDescent="0.35">
      <c r="B362" s="1222" t="s">
        <v>1163</v>
      </c>
      <c r="C362" s="1224"/>
      <c r="D362" s="1224"/>
      <c r="E362" s="1224"/>
      <c r="F362" s="1225"/>
      <c r="G362" s="1225"/>
      <c r="H362" s="1226"/>
      <c r="J362" s="206" t="str">
        <f>+J361</f>
        <v>N.A</v>
      </c>
      <c r="K362" s="204">
        <f>AVERAGE(K15:K129,K131,K133:K202,K204:K303,K305:K359)</f>
        <v>0.72843696586056439</v>
      </c>
      <c r="L362" s="205">
        <f>AVERAGE(L15:L129,L131,L133:L202,L204:L303,L305:L359)</f>
        <v>0.71274884770279945</v>
      </c>
      <c r="M362" s="204">
        <f>AVERAGE(M15:M129,M131,M133:M202,M204:M303,M305:M359)</f>
        <v>0.14955346131343825</v>
      </c>
      <c r="N362" s="204">
        <f>AVERAGE(N15:N129,N131,N133:N202,N204:N303,N305:N359)</f>
        <v>0.14955346131343825</v>
      </c>
      <c r="O362" s="204">
        <f>AVERAGE(O15:O129,O131,O133:O202,O204:O303,O305:O359)</f>
        <v>0.26928377779600088</v>
      </c>
      <c r="P362" s="199"/>
      <c r="Q362" s="202" t="str">
        <f>+Q361</f>
        <v>N.A</v>
      </c>
      <c r="R362" s="204">
        <f>AVERAGE(R15:R129,R131:R202,R204:R218,R220:R303,R305:R359)</f>
        <v>0.88467065693152747</v>
      </c>
      <c r="S362" s="204">
        <f>AVERAGE(S15:S129,S131:S202,S204:S218,S220:S303,S305:S359)</f>
        <v>0.84034973170291993</v>
      </c>
      <c r="T362" s="204">
        <f>AVERAGE(T15:T129,T131:T202,T204:T303,T305:T359)</f>
        <v>0.33686687423331624</v>
      </c>
      <c r="U362" s="204">
        <f>AVERAGE(U15:U129,U131:U202,U204:U303,U305:U359)</f>
        <v>0.30347944300934709</v>
      </c>
      <c r="V362" s="204">
        <f>AVERAGE(V15:V129,V131:V202,V204:V303,V305:V359)</f>
        <v>0.41546953094119077</v>
      </c>
      <c r="W362" s="199"/>
      <c r="X362" s="202" t="str">
        <f>+X361</f>
        <v>N.A</v>
      </c>
      <c r="Y362" s="204">
        <f>AVERAGE(Y15:Y129,Y131:Y201,Y204:Y303,Y305:Y359)</f>
        <v>0</v>
      </c>
      <c r="Z362" s="205">
        <f>AVERAGE(Z15:Z129,Z131:Z201,Z204:Z303,Z305:Z359)</f>
        <v>5.8823529411764705E-3</v>
      </c>
      <c r="AA362" s="204" t="e">
        <f>AVERAGE(AA15:AA129,AA131:AA201,AA204:AA303,AA305:AA359)</f>
        <v>#VALUE!</v>
      </c>
      <c r="AB362" s="204" t="e">
        <f>AVERAGE(AB15:AB129,AB131:AB201,AB204:AB303,AB305:AB359)</f>
        <v>#VALUE!</v>
      </c>
      <c r="AC362" s="203" t="e">
        <f>AVERAGE(AC15:AC129,AC131:AC201,AC204:AC303,AC305:AC359)</f>
        <v>#VALUE!</v>
      </c>
      <c r="AD362" s="199"/>
      <c r="AE362" s="202" t="str">
        <f>+AE361</f>
        <v>N.A</v>
      </c>
      <c r="AF362" s="204">
        <f>AVERAGE(AF15:AF129,AF131:AF201,AF204:AF303,AF305:AF359)</f>
        <v>0</v>
      </c>
      <c r="AG362" s="205">
        <f>AVERAGE(AG15:AG129,AG131:AG201,AG204:AG303,AG305:AG359)</f>
        <v>6.0975609756097563E-3</v>
      </c>
      <c r="AH362" s="204" t="e">
        <f>AVERAGE(AH15:AH129,AH131:AH201,AH204:AH303,AH305:AH359)</f>
        <v>#VALUE!</v>
      </c>
      <c r="AI362" s="370" t="e">
        <f>AVERAGE(AI15:AI129,AI131:AI201,AI204:AI303,AI305:AI359)</f>
        <v>#VALUE!</v>
      </c>
    </row>
    <row r="363" spans="2:92" ht="25.5" thickBot="1" x14ac:dyDescent="0.35">
      <c r="B363" s="1222" t="s">
        <v>1162</v>
      </c>
      <c r="C363" s="1224"/>
      <c r="D363" s="1224"/>
      <c r="E363" s="1224"/>
      <c r="F363" s="1225"/>
      <c r="G363" s="1225"/>
      <c r="H363" s="1226"/>
      <c r="J363" s="206" t="str">
        <f>+J362</f>
        <v>N.A</v>
      </c>
      <c r="K363" s="204">
        <f>AVERAGE(K131,K133:K202,K204:K303,K305:K359)</f>
        <v>0.82827611840275961</v>
      </c>
      <c r="L363" s="205">
        <f>AVERAGE(L131,L133:L202,L204:L303,L305:L359)</f>
        <v>0.80930899356405339</v>
      </c>
      <c r="M363" s="204">
        <f>AVERAGE(M131,M133:M202,M204:M303,M305:M359)</f>
        <v>0.16998666520154562</v>
      </c>
      <c r="N363" s="204">
        <f>AVERAGE(N131,N133:N202,N204:N303,N305:N359)</f>
        <v>0.16998666520154562</v>
      </c>
      <c r="O363" s="204">
        <f>AVERAGE(O131,O133:O202,O204:O303,O305:O359)</f>
        <v>0.33130054136219605</v>
      </c>
      <c r="P363" s="199"/>
      <c r="Q363" s="202" t="str">
        <f>+Q362</f>
        <v>N.A</v>
      </c>
      <c r="R363" s="204">
        <f>AVERAGE(R131:R202,R204:R218,R220:R303,R305:R359)</f>
        <v>0.95710316326503009</v>
      </c>
      <c r="S363" s="204">
        <f>AVERAGE(S131:S202,S204:S218,S220:S303,S305:S359)</f>
        <v>0.90277162793759536</v>
      </c>
      <c r="T363" s="204">
        <f>AVERAGE(T131:T202,T204:T303,T305:T359)</f>
        <v>0.36982718695115163</v>
      </c>
      <c r="U363" s="204">
        <f>AVERAGE(U131:U202,U204:U303,U305:U359)</f>
        <v>0.32669423526180746</v>
      </c>
      <c r="V363" s="204">
        <f>AVERAGE(V131:V202,V204:V303,V305:V359)</f>
        <v>0.46479081514515247</v>
      </c>
      <c r="W363" s="199"/>
      <c r="X363" s="202" t="str">
        <f>+X362</f>
        <v>N.A</v>
      </c>
      <c r="Y363" s="204">
        <f>AVERAGE(Y131:Y201,Y204:Y303,Y305:Y359)</f>
        <v>0</v>
      </c>
      <c r="Z363" s="205">
        <f>AVERAGE(Z131:Z201,Z204:Z303,Z305:Z359)</f>
        <v>0</v>
      </c>
      <c r="AA363" s="204" t="e">
        <f>AVERAGE(AA131:AA201,AA204:AA303,AA305:AA359)</f>
        <v>#VALUE!</v>
      </c>
      <c r="AB363" s="204" t="e">
        <f>AVERAGE(AB131:AB201,AB204:AB303,AB305:AB359)</f>
        <v>#VALUE!</v>
      </c>
      <c r="AC363" s="203" t="e">
        <f>AVERAGE(AC131:AC201,AC204:AC303,AC305:AC359)</f>
        <v>#VALUE!</v>
      </c>
      <c r="AD363" s="199"/>
      <c r="AE363" s="202" t="str">
        <f>+AE362</f>
        <v>N.A</v>
      </c>
      <c r="AF363" s="204">
        <f>AVERAGE(AF131:AF201,AF204:AF303,AF305:AF359)</f>
        <v>0</v>
      </c>
      <c r="AG363" s="205">
        <f>AVERAGE(AG131:AG201,AG204:AG303,AG305:AG359)</f>
        <v>8.4033613445378148E-3</v>
      </c>
      <c r="AH363" s="204" t="e">
        <f>AVERAGE(AH131:AH201,AH204:AH303,AH305:AH359)</f>
        <v>#VALUE!</v>
      </c>
      <c r="AI363" s="370" t="e">
        <f>AVERAGE(AI131:AI201,AI204:AI303,AI305:AI359)</f>
        <v>#VALUE!</v>
      </c>
    </row>
    <row r="364" spans="2:92" s="189" customFormat="1" ht="24.75" x14ac:dyDescent="0.3">
      <c r="B364" s="200"/>
      <c r="C364" s="200"/>
      <c r="D364" s="200"/>
      <c r="E364" s="200"/>
      <c r="F364" s="200"/>
      <c r="G364" s="200"/>
      <c r="H364" s="200"/>
      <c r="I364" s="190"/>
      <c r="J364" s="198"/>
      <c r="K364" s="186"/>
      <c r="L364" s="186"/>
      <c r="M364" s="186"/>
      <c r="N364" s="186"/>
      <c r="O364" s="186"/>
      <c r="P364" s="199"/>
      <c r="Q364" s="198"/>
      <c r="R364" s="186"/>
      <c r="S364" s="186"/>
      <c r="T364" s="186"/>
      <c r="U364" s="186"/>
      <c r="V364" s="186"/>
      <c r="W364" s="199"/>
      <c r="X364" s="198"/>
      <c r="Y364" s="186"/>
      <c r="Z364" s="186"/>
      <c r="AA364" s="186"/>
      <c r="AB364" s="186"/>
      <c r="AC364" s="186"/>
      <c r="AD364" s="199"/>
      <c r="AE364" s="198"/>
      <c r="AF364" s="186"/>
      <c r="AG364" s="186"/>
      <c r="AH364" s="186"/>
      <c r="AI364" s="186"/>
      <c r="AK364" s="197"/>
    </row>
    <row r="365" spans="2:92" ht="24.75" customHeight="1" x14ac:dyDescent="0.25">
      <c r="B365" s="196" t="s">
        <v>1161</v>
      </c>
      <c r="C365" s="195"/>
      <c r="D365" s="195"/>
      <c r="E365" s="195"/>
      <c r="F365" s="195"/>
      <c r="G365" s="195"/>
      <c r="H365" s="194"/>
      <c r="P365" s="312"/>
      <c r="W365" s="312"/>
    </row>
    <row r="366" spans="2:92" x14ac:dyDescent="0.2">
      <c r="B366" s="195"/>
      <c r="C366" s="195"/>
      <c r="D366" s="195"/>
      <c r="E366" s="195"/>
      <c r="F366" s="195"/>
      <c r="G366" s="195"/>
      <c r="H366" s="194"/>
      <c r="P366" s="312"/>
      <c r="W366" s="312"/>
    </row>
    <row r="367" spans="2:92" x14ac:dyDescent="0.2">
      <c r="B367" s="195"/>
      <c r="C367" s="195"/>
      <c r="D367" s="195"/>
      <c r="E367" s="195"/>
      <c r="F367" s="195"/>
      <c r="G367" s="195"/>
      <c r="H367" s="194"/>
      <c r="P367" s="312"/>
      <c r="W367" s="312"/>
    </row>
    <row r="368" spans="2:92" x14ac:dyDescent="0.2">
      <c r="P368" s="312"/>
      <c r="V368" s="193"/>
      <c r="W368" s="312"/>
    </row>
    <row r="369" spans="2:37" ht="18" x14ac:dyDescent="0.25">
      <c r="B369" s="192"/>
      <c r="C369" s="192"/>
      <c r="D369" s="192"/>
      <c r="E369" s="192"/>
      <c r="F369" s="192"/>
      <c r="G369" s="192"/>
      <c r="K369" s="193"/>
      <c r="L369" s="193"/>
      <c r="M369" s="193"/>
      <c r="N369" s="193"/>
      <c r="O369" s="193"/>
      <c r="P369" s="312"/>
      <c r="W369" s="312"/>
    </row>
    <row r="370" spans="2:37" ht="18" x14ac:dyDescent="0.25">
      <c r="B370" s="192"/>
      <c r="C370" s="192"/>
      <c r="D370" s="192"/>
      <c r="E370" s="192"/>
      <c r="F370" s="192"/>
      <c r="G370" s="192"/>
      <c r="I370" s="186"/>
      <c r="J370" s="186"/>
      <c r="P370" s="313"/>
      <c r="W370" s="313"/>
      <c r="AD370" s="191"/>
      <c r="AK370" s="186"/>
    </row>
    <row r="371" spans="2:37" ht="18" x14ac:dyDescent="0.25">
      <c r="B371" s="192"/>
      <c r="C371" s="192"/>
      <c r="D371" s="192"/>
      <c r="E371" s="192"/>
      <c r="F371" s="192"/>
      <c r="G371" s="192"/>
      <c r="I371" s="186"/>
      <c r="J371" s="186"/>
      <c r="P371" s="313"/>
      <c r="W371" s="313"/>
      <c r="AD371" s="191"/>
      <c r="AK371" s="186"/>
    </row>
    <row r="372" spans="2:37" x14ac:dyDescent="0.2">
      <c r="P372" s="312"/>
      <c r="W372" s="312"/>
      <c r="AK372" s="186"/>
    </row>
    <row r="373" spans="2:37" x14ac:dyDescent="0.2">
      <c r="P373" s="312"/>
      <c r="W373" s="312"/>
      <c r="AK373" s="186"/>
    </row>
    <row r="374" spans="2:37" x14ac:dyDescent="0.2">
      <c r="P374" s="312"/>
      <c r="W374" s="312"/>
      <c r="AK374" s="186"/>
    </row>
    <row r="375" spans="2:37" x14ac:dyDescent="0.2">
      <c r="P375" s="312"/>
      <c r="AK375" s="186"/>
    </row>
  </sheetData>
  <sheetProtection algorithmName="SHA-512" hashValue="rIRYZyRk2g6anuup367NKlnHseidRQOE60KoSBheYX8R84G03CsxRfvT2XfuuSL/xVeBQ8PJlT+LLPVltCuFJw==" saltValue="1agsgb2mRERD2vDIs5Jv4g==" spinCount="100000" sheet="1" objects="1" scenarios="1"/>
  <autoFilter ref="B14:CN363" xr:uid="{00000000-0009-0000-0000-000004000000}"/>
  <mergeCells count="885">
    <mergeCell ref="D353:D356"/>
    <mergeCell ref="E177:E189"/>
    <mergeCell ref="F242:F243"/>
    <mergeCell ref="AI311:AI316"/>
    <mergeCell ref="AE142:AE143"/>
    <mergeCell ref="AI327:AI345"/>
    <mergeCell ref="H327:H345"/>
    <mergeCell ref="J327:J345"/>
    <mergeCell ref="K327:K345"/>
    <mergeCell ref="L327:L345"/>
    <mergeCell ref="M327:M345"/>
    <mergeCell ref="N327:N345"/>
    <mergeCell ref="O327:O345"/>
    <mergeCell ref="Q327:Q345"/>
    <mergeCell ref="R327:R345"/>
    <mergeCell ref="S327:S345"/>
    <mergeCell ref="T327:T345"/>
    <mergeCell ref="U327:U345"/>
    <mergeCell ref="V327:V345"/>
    <mergeCell ref="X327:X345"/>
    <mergeCell ref="Y327:Y345"/>
    <mergeCell ref="Z327:Z345"/>
    <mergeCell ref="AA327:AA345"/>
    <mergeCell ref="AB327:AB345"/>
    <mergeCell ref="AC327:AC345"/>
    <mergeCell ref="AE327:AE345"/>
    <mergeCell ref="AH327:AH345"/>
    <mergeCell ref="AH311:AH316"/>
    <mergeCell ref="X311:X316"/>
    <mergeCell ref="Y311:Y316"/>
    <mergeCell ref="Z311:Z316"/>
    <mergeCell ref="AA311:AA316"/>
    <mergeCell ref="AB311:AB316"/>
    <mergeCell ref="AC311:AC316"/>
    <mergeCell ref="AE311:AE316"/>
    <mergeCell ref="AF311:AF316"/>
    <mergeCell ref="AG311:AG316"/>
    <mergeCell ref="AF327:AF345"/>
    <mergeCell ref="AG327:AG345"/>
    <mergeCell ref="M311:M316"/>
    <mergeCell ref="N311:N316"/>
    <mergeCell ref="O311:O316"/>
    <mergeCell ref="Q311:Q316"/>
    <mergeCell ref="R311:R316"/>
    <mergeCell ref="S311:S316"/>
    <mergeCell ref="T311:T316"/>
    <mergeCell ref="U311:U316"/>
    <mergeCell ref="V311:V316"/>
    <mergeCell ref="G131:G135"/>
    <mergeCell ref="C165:C202"/>
    <mergeCell ref="F159:F164"/>
    <mergeCell ref="K142:K143"/>
    <mergeCell ref="L142:L143"/>
    <mergeCell ref="E210:E212"/>
    <mergeCell ref="F210:F212"/>
    <mergeCell ref="F207:F209"/>
    <mergeCell ref="E207:E209"/>
    <mergeCell ref="D207:D209"/>
    <mergeCell ref="D165:D175"/>
    <mergeCell ref="F145:F150"/>
    <mergeCell ref="H311:H316"/>
    <mergeCell ref="J311:J316"/>
    <mergeCell ref="K311:K316"/>
    <mergeCell ref="L311:L316"/>
    <mergeCell ref="G171:G172"/>
    <mergeCell ref="G173:G174"/>
    <mergeCell ref="F165:F167"/>
    <mergeCell ref="E233:E238"/>
    <mergeCell ref="F233:F238"/>
    <mergeCell ref="E218:E230"/>
    <mergeCell ref="F218:F230"/>
    <mergeCell ref="G234:G236"/>
    <mergeCell ref="K234:K236"/>
    <mergeCell ref="L234:L236"/>
    <mergeCell ref="F182:F189"/>
    <mergeCell ref="F178:F179"/>
    <mergeCell ref="G298:G300"/>
    <mergeCell ref="F23:F28"/>
    <mergeCell ref="AF67:AF83"/>
    <mergeCell ref="AG67:AG83"/>
    <mergeCell ref="AF49:AF52"/>
    <mergeCell ref="AG49:AG52"/>
    <mergeCell ref="AE47:AE48"/>
    <mergeCell ref="AF47:AF48"/>
    <mergeCell ref="AG47:AG48"/>
    <mergeCell ref="AE44:AE46"/>
    <mergeCell ref="AF44:AF46"/>
    <mergeCell ref="S67:S83"/>
    <mergeCell ref="T67:T83"/>
    <mergeCell ref="Y53:Y54"/>
    <mergeCell ref="Z53:Z54"/>
    <mergeCell ref="AA53:AA54"/>
    <mergeCell ref="AB53:AB54"/>
    <mergeCell ref="R56:R57"/>
    <mergeCell ref="S56:S57"/>
    <mergeCell ref="V56:V57"/>
    <mergeCell ref="U56:U57"/>
    <mergeCell ref="T56:T57"/>
    <mergeCell ref="AC44:AC46"/>
    <mergeCell ref="AG44:AG46"/>
    <mergeCell ref="Z44:Z46"/>
    <mergeCell ref="H36:H39"/>
    <mergeCell ref="C156:C158"/>
    <mergeCell ref="D156:D158"/>
    <mergeCell ref="E156:E158"/>
    <mergeCell ref="F156:F158"/>
    <mergeCell ref="C141:C144"/>
    <mergeCell ref="D141:D144"/>
    <mergeCell ref="E141:E144"/>
    <mergeCell ref="F127:F128"/>
    <mergeCell ref="C59:C129"/>
    <mergeCell ref="F141:F144"/>
    <mergeCell ref="C145:C150"/>
    <mergeCell ref="D145:D150"/>
    <mergeCell ref="C36:C39"/>
    <mergeCell ref="E145:E150"/>
    <mergeCell ref="B130:H130"/>
    <mergeCell ref="F124:F126"/>
    <mergeCell ref="B15:B129"/>
    <mergeCell ref="E15:E17"/>
    <mergeCell ref="F18:F22"/>
    <mergeCell ref="C23:C28"/>
    <mergeCell ref="D23:D28"/>
    <mergeCell ref="E23:E28"/>
    <mergeCell ref="C29:C35"/>
    <mergeCell ref="J67:J83"/>
    <mergeCell ref="F67:F86"/>
    <mergeCell ref="K67:K83"/>
    <mergeCell ref="L67:L83"/>
    <mergeCell ref="M67:M83"/>
    <mergeCell ref="N67:N83"/>
    <mergeCell ref="O67:O83"/>
    <mergeCell ref="Q67:Q83"/>
    <mergeCell ref="R67:R83"/>
    <mergeCell ref="J56:J57"/>
    <mergeCell ref="Y44:Y46"/>
    <mergeCell ref="AB44:AB46"/>
    <mergeCell ref="D36:D39"/>
    <mergeCell ref="E36:E39"/>
    <mergeCell ref="F36:F39"/>
    <mergeCell ref="K56:K57"/>
    <mergeCell ref="L56:L57"/>
    <mergeCell ref="O56:O57"/>
    <mergeCell ref="M56:M57"/>
    <mergeCell ref="N56:N57"/>
    <mergeCell ref="Q56:Q57"/>
    <mergeCell ref="J49:J52"/>
    <mergeCell ref="O49:O52"/>
    <mergeCell ref="Q49:Q52"/>
    <mergeCell ref="R49:R52"/>
    <mergeCell ref="S49:S52"/>
    <mergeCell ref="T49:T52"/>
    <mergeCell ref="U49:U52"/>
    <mergeCell ref="V49:V52"/>
    <mergeCell ref="X49:X52"/>
    <mergeCell ref="Y49:Y52"/>
    <mergeCell ref="Z49:Z52"/>
    <mergeCell ref="AA49:AA52"/>
    <mergeCell ref="K47:K48"/>
    <mergeCell ref="L47:L48"/>
    <mergeCell ref="M47:M48"/>
    <mergeCell ref="N47:N48"/>
    <mergeCell ref="AB47:AB48"/>
    <mergeCell ref="AH56:AH57"/>
    <mergeCell ref="AI56:AI57"/>
    <mergeCell ref="AF56:AF57"/>
    <mergeCell ref="AG56:AG57"/>
    <mergeCell ref="AF53:AF54"/>
    <mergeCell ref="AG53:AG54"/>
    <mergeCell ref="AH53:AH54"/>
    <mergeCell ref="T53:T54"/>
    <mergeCell ref="U53:U54"/>
    <mergeCell ref="AH47:AH48"/>
    <mergeCell ref="AI47:AI48"/>
    <mergeCell ref="K49:K52"/>
    <mergeCell ref="L49:L52"/>
    <mergeCell ref="M49:M52"/>
    <mergeCell ref="N49:N52"/>
    <mergeCell ref="K53:K54"/>
    <mergeCell ref="L53:L54"/>
    <mergeCell ref="O53:O54"/>
    <mergeCell ref="N53:N54"/>
    <mergeCell ref="Q53:Q54"/>
    <mergeCell ref="R53:R54"/>
    <mergeCell ref="S53:S54"/>
    <mergeCell ref="V53:V54"/>
    <mergeCell ref="U67:U83"/>
    <mergeCell ref="V67:V83"/>
    <mergeCell ref="AE53:AE54"/>
    <mergeCell ref="X53:X54"/>
    <mergeCell ref="X56:X57"/>
    <mergeCell ref="Y56:Y57"/>
    <mergeCell ref="Z56:Z57"/>
    <mergeCell ref="AA56:AA57"/>
    <mergeCell ref="AB56:AB57"/>
    <mergeCell ref="AC56:AC57"/>
    <mergeCell ref="AE56:AE57"/>
    <mergeCell ref="AC53:AC54"/>
    <mergeCell ref="AE67:AE83"/>
    <mergeCell ref="Z67:Z83"/>
    <mergeCell ref="AA67:AA83"/>
    <mergeCell ref="AB67:AB83"/>
    <mergeCell ref="AC67:AC83"/>
    <mergeCell ref="B363:H363"/>
    <mergeCell ref="D131:D140"/>
    <mergeCell ref="E152:E155"/>
    <mergeCell ref="F152:F155"/>
    <mergeCell ref="F213:F215"/>
    <mergeCell ref="E213:E215"/>
    <mergeCell ref="D213:D215"/>
    <mergeCell ref="C213:C215"/>
    <mergeCell ref="C231:C232"/>
    <mergeCell ref="D231:D232"/>
    <mergeCell ref="E231:E232"/>
    <mergeCell ref="B360:H360"/>
    <mergeCell ref="F168:F175"/>
    <mergeCell ref="F245:F248"/>
    <mergeCell ref="F251:F254"/>
    <mergeCell ref="F255:F256"/>
    <mergeCell ref="E165:E175"/>
    <mergeCell ref="C159:C164"/>
    <mergeCell ref="D159:D164"/>
    <mergeCell ref="E159:E164"/>
    <mergeCell ref="B131:B202"/>
    <mergeCell ref="E201:E202"/>
    <mergeCell ref="F194:F202"/>
    <mergeCell ref="D218:D230"/>
    <mergeCell ref="F358:F359"/>
    <mergeCell ref="E358:E359"/>
    <mergeCell ref="Y1:AJ3"/>
    <mergeCell ref="D2:E2"/>
    <mergeCell ref="H2:X2"/>
    <mergeCell ref="D3:E3"/>
    <mergeCell ref="I3:R3"/>
    <mergeCell ref="T3:W3"/>
    <mergeCell ref="B203:H203"/>
    <mergeCell ref="AA14:AC14"/>
    <mergeCell ref="R14:S14"/>
    <mergeCell ref="T14:V14"/>
    <mergeCell ref="H1:X1"/>
    <mergeCell ref="B5:C5"/>
    <mergeCell ref="K14:L14"/>
    <mergeCell ref="M14:O14"/>
    <mergeCell ref="D5:E5"/>
    <mergeCell ref="B1:C3"/>
    <mergeCell ref="D1:E1"/>
    <mergeCell ref="J60:J63"/>
    <mergeCell ref="AB49:AB52"/>
    <mergeCell ref="AC49:AC52"/>
    <mergeCell ref="AE49:AE52"/>
    <mergeCell ref="K44:K46"/>
    <mergeCell ref="AZ13:BL13"/>
    <mergeCell ref="AH14:AI14"/>
    <mergeCell ref="F231:F232"/>
    <mergeCell ref="AE60:AE63"/>
    <mergeCell ref="AF60:AF63"/>
    <mergeCell ref="BD16:BD45"/>
    <mergeCell ref="BF16:BF45"/>
    <mergeCell ref="BG16:BG45"/>
    <mergeCell ref="BI16:BI45"/>
    <mergeCell ref="BJ16:BJ45"/>
    <mergeCell ref="BL16:BL45"/>
    <mergeCell ref="AZ16:AZ45"/>
    <mergeCell ref="BA16:BA45"/>
    <mergeCell ref="BC16:BC45"/>
    <mergeCell ref="AL16:AL45"/>
    <mergeCell ref="AM16:AM45"/>
    <mergeCell ref="AO16:AO45"/>
    <mergeCell ref="AP16:AP45"/>
    <mergeCell ref="G223:G224"/>
    <mergeCell ref="AH49:AH52"/>
    <mergeCell ref="AI49:AI52"/>
    <mergeCell ref="V47:V48"/>
    <mergeCell ref="AR16:AR45"/>
    <mergeCell ref="M53:M54"/>
    <mergeCell ref="D29:D35"/>
    <mergeCell ref="E29:E35"/>
    <mergeCell ref="F29:F35"/>
    <mergeCell ref="U18:U21"/>
    <mergeCell ref="Y60:Y63"/>
    <mergeCell ref="Z60:Z63"/>
    <mergeCell ref="AA60:AA63"/>
    <mergeCell ref="AB60:AB63"/>
    <mergeCell ref="AC60:AC63"/>
    <mergeCell ref="O47:O48"/>
    <mergeCell ref="Q47:Q48"/>
    <mergeCell ref="R47:R48"/>
    <mergeCell ref="O18:O21"/>
    <mergeCell ref="Q18:Q21"/>
    <mergeCell ref="R18:R21"/>
    <mergeCell ref="AC18:AC21"/>
    <mergeCell ref="AA18:AA21"/>
    <mergeCell ref="AB18:AB21"/>
    <mergeCell ref="AA44:AA46"/>
    <mergeCell ref="V44:V46"/>
    <mergeCell ref="S47:S48"/>
    <mergeCell ref="T47:T48"/>
    <mergeCell ref="X44:X46"/>
    <mergeCell ref="J44:J46"/>
    <mergeCell ref="B362:H362"/>
    <mergeCell ref="C152:C155"/>
    <mergeCell ref="D152:D155"/>
    <mergeCell ref="B361:H361"/>
    <mergeCell ref="L44:L46"/>
    <mergeCell ref="M44:M46"/>
    <mergeCell ref="V60:V63"/>
    <mergeCell ref="X60:X63"/>
    <mergeCell ref="C131:C140"/>
    <mergeCell ref="E131:E140"/>
    <mergeCell ref="F131:F140"/>
    <mergeCell ref="Q142:Q143"/>
    <mergeCell ref="R142:R143"/>
    <mergeCell ref="S142:S143"/>
    <mergeCell ref="T142:T143"/>
    <mergeCell ref="U142:U143"/>
    <mergeCell ref="H142:H143"/>
    <mergeCell ref="J142:J143"/>
    <mergeCell ref="F87:F96"/>
    <mergeCell ref="F97:F120"/>
    <mergeCell ref="F121:F122"/>
    <mergeCell ref="E66:E123"/>
    <mergeCell ref="D66:D123"/>
    <mergeCell ref="U44:U46"/>
    <mergeCell ref="CB13:CN13"/>
    <mergeCell ref="D15:D17"/>
    <mergeCell ref="CI16:CI45"/>
    <mergeCell ref="CK16:CK45"/>
    <mergeCell ref="CL16:CL45"/>
    <mergeCell ref="CN16:CN45"/>
    <mergeCell ref="BW16:BW45"/>
    <mergeCell ref="L31:L33"/>
    <mergeCell ref="M31:M33"/>
    <mergeCell ref="N31:N33"/>
    <mergeCell ref="O31:O33"/>
    <mergeCell ref="Q31:Q33"/>
    <mergeCell ref="R31:R33"/>
    <mergeCell ref="S31:S33"/>
    <mergeCell ref="T31:T33"/>
    <mergeCell ref="U31:U33"/>
    <mergeCell ref="V31:V33"/>
    <mergeCell ref="X31:X33"/>
    <mergeCell ref="Y31:Y33"/>
    <mergeCell ref="Z31:Z33"/>
    <mergeCell ref="AA31:AA33"/>
    <mergeCell ref="CB16:CB45"/>
    <mergeCell ref="BN13:BZ13"/>
    <mergeCell ref="BX16:BX45"/>
    <mergeCell ref="CC16:CC45"/>
    <mergeCell ref="CE16:CE45"/>
    <mergeCell ref="CF16:CF45"/>
    <mergeCell ref="CH16:CH45"/>
    <mergeCell ref="BN16:BN45"/>
    <mergeCell ref="BO16:BO45"/>
    <mergeCell ref="BQ16:BQ45"/>
    <mergeCell ref="BR16:BR45"/>
    <mergeCell ref="BT16:BT45"/>
    <mergeCell ref="BZ16:BZ45"/>
    <mergeCell ref="BU16:BU45"/>
    <mergeCell ref="AX16:AX45"/>
    <mergeCell ref="J13:AJ13"/>
    <mergeCell ref="AL13:AX13"/>
    <mergeCell ref="Y14:Z14"/>
    <mergeCell ref="AF14:AG14"/>
    <mergeCell ref="K18:K21"/>
    <mergeCell ref="L18:L21"/>
    <mergeCell ref="M18:M21"/>
    <mergeCell ref="AB31:AB33"/>
    <mergeCell ref="AC31:AC33"/>
    <mergeCell ref="AE31:AE33"/>
    <mergeCell ref="AF31:AF33"/>
    <mergeCell ref="AG31:AG33"/>
    <mergeCell ref="AH31:AH33"/>
    <mergeCell ref="AI31:AI33"/>
    <mergeCell ref="S18:S21"/>
    <mergeCell ref="T18:T21"/>
    <mergeCell ref="J31:J33"/>
    <mergeCell ref="K31:K33"/>
    <mergeCell ref="N18:N21"/>
    <mergeCell ref="AE18:AE21"/>
    <mergeCell ref="AJ16:AJ45"/>
    <mergeCell ref="AH44:AH46"/>
    <mergeCell ref="AI44:AI46"/>
    <mergeCell ref="S97:S116"/>
    <mergeCell ref="R97:R116"/>
    <mergeCell ref="AS16:AS45"/>
    <mergeCell ref="AU16:AU45"/>
    <mergeCell ref="AV16:AV45"/>
    <mergeCell ref="AI53:AI54"/>
    <mergeCell ref="N60:N63"/>
    <mergeCell ref="O60:O63"/>
    <mergeCell ref="Q60:Q63"/>
    <mergeCell ref="R60:R63"/>
    <mergeCell ref="S60:S63"/>
    <mergeCell ref="T60:T63"/>
    <mergeCell ref="U60:U63"/>
    <mergeCell ref="X67:X83"/>
    <mergeCell ref="Y67:Y83"/>
    <mergeCell ref="AL46:AL48"/>
    <mergeCell ref="AF18:AF21"/>
    <mergeCell ref="AG18:AG21"/>
    <mergeCell ref="AH18:AH21"/>
    <mergeCell ref="AI18:AI21"/>
    <mergeCell ref="V18:V21"/>
    <mergeCell ref="X18:X21"/>
    <mergeCell ref="Y18:Y21"/>
    <mergeCell ref="Z18:Z21"/>
    <mergeCell ref="AO131:AO136"/>
    <mergeCell ref="AP131:AP136"/>
    <mergeCell ref="AJ131:AJ136"/>
    <mergeCell ref="AL131:AL136"/>
    <mergeCell ref="AG60:AG63"/>
    <mergeCell ref="AH60:AH63"/>
    <mergeCell ref="AI60:AI63"/>
    <mergeCell ref="AH67:AH83"/>
    <mergeCell ref="AI67:AI83"/>
    <mergeCell ref="AM131:AM136"/>
    <mergeCell ref="BA131:BA136"/>
    <mergeCell ref="BC131:BC136"/>
    <mergeCell ref="BA46:BA48"/>
    <mergeCell ref="BC46:BC48"/>
    <mergeCell ref="BD131:BD136"/>
    <mergeCell ref="BF131:BF136"/>
    <mergeCell ref="AU131:AU136"/>
    <mergeCell ref="AV131:AV136"/>
    <mergeCell ref="AX131:AX136"/>
    <mergeCell ref="AU46:AU48"/>
    <mergeCell ref="AV46:AV48"/>
    <mergeCell ref="AZ46:AZ48"/>
    <mergeCell ref="AZ131:AZ136"/>
    <mergeCell ref="BG46:BG48"/>
    <mergeCell ref="BN46:BN48"/>
    <mergeCell ref="BI46:BI48"/>
    <mergeCell ref="BJ46:BJ48"/>
    <mergeCell ref="BO46:BO48"/>
    <mergeCell ref="AM46:AM48"/>
    <mergeCell ref="AO46:AO48"/>
    <mergeCell ref="AP46:AP48"/>
    <mergeCell ref="AR46:AR48"/>
    <mergeCell ref="AS46:AS48"/>
    <mergeCell ref="BD46:BD48"/>
    <mergeCell ref="BF46:BF48"/>
    <mergeCell ref="CN131:CN136"/>
    <mergeCell ref="BZ131:BZ136"/>
    <mergeCell ref="CB131:CB136"/>
    <mergeCell ref="CC131:CC136"/>
    <mergeCell ref="CE131:CE136"/>
    <mergeCell ref="CF131:CF136"/>
    <mergeCell ref="CH131:CH136"/>
    <mergeCell ref="BQ131:BQ136"/>
    <mergeCell ref="BT46:BT48"/>
    <mergeCell ref="BU46:BU48"/>
    <mergeCell ref="BW46:BW48"/>
    <mergeCell ref="BR46:BR48"/>
    <mergeCell ref="BQ46:BQ48"/>
    <mergeCell ref="CI46:CI48"/>
    <mergeCell ref="CK46:CK48"/>
    <mergeCell ref="CL46:CL48"/>
    <mergeCell ref="BX46:BX48"/>
    <mergeCell ref="CB46:CB48"/>
    <mergeCell ref="CC46:CC48"/>
    <mergeCell ref="CE46:CE48"/>
    <mergeCell ref="CF46:CF48"/>
    <mergeCell ref="CH46:CH48"/>
    <mergeCell ref="BG131:BG136"/>
    <mergeCell ref="BI131:BI136"/>
    <mergeCell ref="BJ131:BJ136"/>
    <mergeCell ref="BL131:BL136"/>
    <mergeCell ref="BN131:BN136"/>
    <mergeCell ref="BO131:BO136"/>
    <mergeCell ref="CK131:CK136"/>
    <mergeCell ref="CL131:CL136"/>
    <mergeCell ref="AJ137:AJ165"/>
    <mergeCell ref="AL137:AL165"/>
    <mergeCell ref="AM137:AM165"/>
    <mergeCell ref="AO137:AO165"/>
    <mergeCell ref="AP137:AP165"/>
    <mergeCell ref="BA137:BA165"/>
    <mergeCell ref="BC137:BC165"/>
    <mergeCell ref="BD137:BD165"/>
    <mergeCell ref="BR131:BR136"/>
    <mergeCell ref="BT131:BT136"/>
    <mergeCell ref="BU131:BU136"/>
    <mergeCell ref="BW131:BW136"/>
    <mergeCell ref="BX131:BX136"/>
    <mergeCell ref="CI131:CI136"/>
    <mergeCell ref="AR131:AR136"/>
    <mergeCell ref="AS131:AS136"/>
    <mergeCell ref="BF137:BF165"/>
    <mergeCell ref="BG137:BG165"/>
    <mergeCell ref="BI137:BI165"/>
    <mergeCell ref="AR137:AR165"/>
    <mergeCell ref="AS137:AS165"/>
    <mergeCell ref="AU137:AU165"/>
    <mergeCell ref="AV137:AV165"/>
    <mergeCell ref="AX137:AX165"/>
    <mergeCell ref="AZ137:AZ165"/>
    <mergeCell ref="BJ137:BJ165"/>
    <mergeCell ref="BL137:BL165"/>
    <mergeCell ref="BN137:BN165"/>
    <mergeCell ref="BO137:BO165"/>
    <mergeCell ref="BQ137:BQ165"/>
    <mergeCell ref="BR137:BR165"/>
    <mergeCell ref="BT137:BT165"/>
    <mergeCell ref="BU137:BU165"/>
    <mergeCell ref="BW137:BW165"/>
    <mergeCell ref="BX137:BX165"/>
    <mergeCell ref="BZ137:BZ165"/>
    <mergeCell ref="CB137:CB165"/>
    <mergeCell ref="CH176:CH195"/>
    <mergeCell ref="CI176:CI195"/>
    <mergeCell ref="CK176:CK195"/>
    <mergeCell ref="CN137:CN165"/>
    <mergeCell ref="CC137:CC165"/>
    <mergeCell ref="CE137:CE165"/>
    <mergeCell ref="CF137:CF165"/>
    <mergeCell ref="CH137:CH165"/>
    <mergeCell ref="CI137:CI165"/>
    <mergeCell ref="CK137:CK165"/>
    <mergeCell ref="CL137:CL165"/>
    <mergeCell ref="AM204:AM212"/>
    <mergeCell ref="AO204:AO212"/>
    <mergeCell ref="BO176:BO195"/>
    <mergeCell ref="BQ176:BQ195"/>
    <mergeCell ref="BR176:BR195"/>
    <mergeCell ref="BT176:BT195"/>
    <mergeCell ref="CL176:CL195"/>
    <mergeCell ref="BU176:BU195"/>
    <mergeCell ref="BW176:BW195"/>
    <mergeCell ref="BX176:BX195"/>
    <mergeCell ref="CB176:CB195"/>
    <mergeCell ref="CC176:CC195"/>
    <mergeCell ref="CE176:CE195"/>
    <mergeCell ref="CF176:CF195"/>
    <mergeCell ref="BR204:BR212"/>
    <mergeCell ref="BN176:BN195"/>
    <mergeCell ref="BT204:BT212"/>
    <mergeCell ref="BU204:BU212"/>
    <mergeCell ref="BG204:BG212"/>
    <mergeCell ref="BI204:BI212"/>
    <mergeCell ref="AJ204:AJ212"/>
    <mergeCell ref="BL204:BL212"/>
    <mergeCell ref="AU204:AU212"/>
    <mergeCell ref="AV204:AV212"/>
    <mergeCell ref="AX204:AX212"/>
    <mergeCell ref="AZ204:AZ212"/>
    <mergeCell ref="BA204:BA212"/>
    <mergeCell ref="AP176:AP195"/>
    <mergeCell ref="AR176:AR195"/>
    <mergeCell ref="AS176:AS195"/>
    <mergeCell ref="AU176:AU195"/>
    <mergeCell ref="AV176:AV195"/>
    <mergeCell ref="AZ176:AZ195"/>
    <mergeCell ref="BA176:BA195"/>
    <mergeCell ref="BC176:BC195"/>
    <mergeCell ref="BD176:BD195"/>
    <mergeCell ref="BF176:BF195"/>
    <mergeCell ref="BG176:BG195"/>
    <mergeCell ref="BI176:BI195"/>
    <mergeCell ref="BJ176:BJ195"/>
    <mergeCell ref="BC204:BC212"/>
    <mergeCell ref="AL204:AL212"/>
    <mergeCell ref="BD204:BD212"/>
    <mergeCell ref="BF204:BF212"/>
    <mergeCell ref="BU213:BU215"/>
    <mergeCell ref="BW213:BW215"/>
    <mergeCell ref="AP204:AP212"/>
    <mergeCell ref="AR204:AR212"/>
    <mergeCell ref="AS204:AS212"/>
    <mergeCell ref="AL176:AL195"/>
    <mergeCell ref="AM176:AM195"/>
    <mergeCell ref="AO176:AO195"/>
    <mergeCell ref="CN204:CN212"/>
    <mergeCell ref="BW204:BW212"/>
    <mergeCell ref="BX204:BX212"/>
    <mergeCell ref="BZ204:BZ212"/>
    <mergeCell ref="CB204:CB212"/>
    <mergeCell ref="CC204:CC212"/>
    <mergeCell ref="CE204:CE212"/>
    <mergeCell ref="BJ204:BJ212"/>
    <mergeCell ref="CF204:CF212"/>
    <mergeCell ref="CH204:CH212"/>
    <mergeCell ref="CI204:CI212"/>
    <mergeCell ref="CK204:CK212"/>
    <mergeCell ref="CL204:CL212"/>
    <mergeCell ref="BN204:BN212"/>
    <mergeCell ref="BO204:BO212"/>
    <mergeCell ref="BQ204:BQ212"/>
    <mergeCell ref="BX213:BX215"/>
    <mergeCell ref="BZ213:BZ215"/>
    <mergeCell ref="CB213:CB215"/>
    <mergeCell ref="CH234:CH236"/>
    <mergeCell ref="CI234:CI236"/>
    <mergeCell ref="CK234:CK236"/>
    <mergeCell ref="CN213:CN215"/>
    <mergeCell ref="CC213:CC215"/>
    <mergeCell ref="CE213:CE215"/>
    <mergeCell ref="CF213:CF215"/>
    <mergeCell ref="CH213:CH215"/>
    <mergeCell ref="CI213:CI215"/>
    <mergeCell ref="CK213:CK215"/>
    <mergeCell ref="CL213:CL215"/>
    <mergeCell ref="AU239:AU241"/>
    <mergeCell ref="AV239:AV241"/>
    <mergeCell ref="AU234:AU236"/>
    <mergeCell ref="AV234:AV236"/>
    <mergeCell ref="AZ234:AZ236"/>
    <mergeCell ref="CL234:CL236"/>
    <mergeCell ref="BU234:BU236"/>
    <mergeCell ref="BW234:BW236"/>
    <mergeCell ref="BX234:BX236"/>
    <mergeCell ref="CB234:CB236"/>
    <mergeCell ref="CC234:CC236"/>
    <mergeCell ref="CE234:CE236"/>
    <mergeCell ref="CF234:CF236"/>
    <mergeCell ref="BD234:BD236"/>
    <mergeCell ref="BF234:BF236"/>
    <mergeCell ref="BA234:BA236"/>
    <mergeCell ref="BC234:BC236"/>
    <mergeCell ref="BD239:BD241"/>
    <mergeCell ref="BJ239:BJ241"/>
    <mergeCell ref="BN239:BN241"/>
    <mergeCell ref="BO239:BO241"/>
    <mergeCell ref="BG234:BG236"/>
    <mergeCell ref="BT234:BT236"/>
    <mergeCell ref="BR239:BR241"/>
    <mergeCell ref="AR213:AR215"/>
    <mergeCell ref="AS213:AS215"/>
    <mergeCell ref="AU213:AU215"/>
    <mergeCell ref="AV213:AV215"/>
    <mergeCell ref="AX213:AX215"/>
    <mergeCell ref="AM213:AM215"/>
    <mergeCell ref="AO213:AO215"/>
    <mergeCell ref="AP213:AP215"/>
    <mergeCell ref="BA213:BA215"/>
    <mergeCell ref="AZ213:AZ215"/>
    <mergeCell ref="BC213:BC215"/>
    <mergeCell ref="BD213:BD215"/>
    <mergeCell ref="BF213:BF215"/>
    <mergeCell ref="BJ213:BJ215"/>
    <mergeCell ref="BL213:BL215"/>
    <mergeCell ref="BN213:BN215"/>
    <mergeCell ref="BO213:BO215"/>
    <mergeCell ref="BQ213:BQ215"/>
    <mergeCell ref="BR213:BR215"/>
    <mergeCell ref="BG213:BG215"/>
    <mergeCell ref="BI213:BI215"/>
    <mergeCell ref="BT213:BT215"/>
    <mergeCell ref="AZ239:AZ241"/>
    <mergeCell ref="AS234:AS236"/>
    <mergeCell ref="CN305:CN350"/>
    <mergeCell ref="BW305:BW350"/>
    <mergeCell ref="BX305:BX350"/>
    <mergeCell ref="BZ305:BZ350"/>
    <mergeCell ref="CB305:CB350"/>
    <mergeCell ref="CC305:CC350"/>
    <mergeCell ref="CE305:CE350"/>
    <mergeCell ref="CF305:CF350"/>
    <mergeCell ref="BT239:BT241"/>
    <mergeCell ref="CK239:CK241"/>
    <mergeCell ref="CC239:CC241"/>
    <mergeCell ref="CE239:CE241"/>
    <mergeCell ref="CF239:CF241"/>
    <mergeCell ref="CH239:CH241"/>
    <mergeCell ref="CI239:CI241"/>
    <mergeCell ref="CL239:CL241"/>
    <mergeCell ref="CB239:CB241"/>
    <mergeCell ref="CI305:CI350"/>
    <mergeCell ref="BU305:BU350"/>
    <mergeCell ref="BD305:BD350"/>
    <mergeCell ref="BR234:BR236"/>
    <mergeCell ref="BF239:BF241"/>
    <mergeCell ref="CK305:CK350"/>
    <mergeCell ref="CL305:CL350"/>
    <mergeCell ref="CH305:CH350"/>
    <mergeCell ref="BN305:BN350"/>
    <mergeCell ref="BO305:BO350"/>
    <mergeCell ref="BQ305:BQ350"/>
    <mergeCell ref="BR305:BR350"/>
    <mergeCell ref="BT305:BT350"/>
    <mergeCell ref="BI305:BI350"/>
    <mergeCell ref="BJ305:BJ350"/>
    <mergeCell ref="BL305:BL350"/>
    <mergeCell ref="AZ305:AZ350"/>
    <mergeCell ref="AJ305:AJ350"/>
    <mergeCell ref="AL305:AL350"/>
    <mergeCell ref="AM305:AM350"/>
    <mergeCell ref="AO305:AO350"/>
    <mergeCell ref="AP305:AP350"/>
    <mergeCell ref="AR305:AR350"/>
    <mergeCell ref="BF305:BF350"/>
    <mergeCell ref="BG305:BG350"/>
    <mergeCell ref="BA305:BA350"/>
    <mergeCell ref="BC305:BC350"/>
    <mergeCell ref="AS305:AS350"/>
    <mergeCell ref="AU305:AU350"/>
    <mergeCell ref="AV305:AV350"/>
    <mergeCell ref="AX305:AX350"/>
    <mergeCell ref="AL234:AL236"/>
    <mergeCell ref="AM234:AM236"/>
    <mergeCell ref="AO234:AO236"/>
    <mergeCell ref="AP239:AP241"/>
    <mergeCell ref="AR239:AR241"/>
    <mergeCell ref="BU239:BU241"/>
    <mergeCell ref="BW239:BW241"/>
    <mergeCell ref="BX239:BX241"/>
    <mergeCell ref="AS239:AS241"/>
    <mergeCell ref="BJ234:BJ236"/>
    <mergeCell ref="BN234:BN236"/>
    <mergeCell ref="BO234:BO236"/>
    <mergeCell ref="BQ239:BQ241"/>
    <mergeCell ref="BI234:BI236"/>
    <mergeCell ref="BG239:BG241"/>
    <mergeCell ref="BI239:BI241"/>
    <mergeCell ref="AL239:AL241"/>
    <mergeCell ref="AM239:AM241"/>
    <mergeCell ref="AO239:AO241"/>
    <mergeCell ref="BQ234:BQ236"/>
    <mergeCell ref="BA239:BA241"/>
    <mergeCell ref="BC239:BC241"/>
    <mergeCell ref="AP234:AP236"/>
    <mergeCell ref="AR234:AR236"/>
    <mergeCell ref="AJ213:AJ215"/>
    <mergeCell ref="AF142:AF143"/>
    <mergeCell ref="AG142:AG143"/>
    <mergeCell ref="AH142:AH143"/>
    <mergeCell ref="AI142:AI143"/>
    <mergeCell ref="AL213:AL215"/>
    <mergeCell ref="F15:F17"/>
    <mergeCell ref="J18:J21"/>
    <mergeCell ref="C15:C17"/>
    <mergeCell ref="C18:C22"/>
    <mergeCell ref="D18:D22"/>
    <mergeCell ref="E18:E22"/>
    <mergeCell ref="H15:H34"/>
    <mergeCell ref="G61:G63"/>
    <mergeCell ref="E59:E65"/>
    <mergeCell ref="D59:D65"/>
    <mergeCell ref="F59:F63"/>
    <mergeCell ref="G47:G48"/>
    <mergeCell ref="J47:J48"/>
    <mergeCell ref="J53:J54"/>
    <mergeCell ref="C40:C58"/>
    <mergeCell ref="D40:D58"/>
    <mergeCell ref="E40:E58"/>
    <mergeCell ref="F40:F58"/>
    <mergeCell ref="K60:K63"/>
    <mergeCell ref="L60:L63"/>
    <mergeCell ref="M60:M63"/>
    <mergeCell ref="AC142:AC143"/>
    <mergeCell ref="N44:N46"/>
    <mergeCell ref="O44:O46"/>
    <mergeCell ref="Q44:Q46"/>
    <mergeCell ref="R44:R46"/>
    <mergeCell ref="S44:S46"/>
    <mergeCell ref="T44:T46"/>
    <mergeCell ref="V142:V143"/>
    <mergeCell ref="X142:X143"/>
    <mergeCell ref="Y142:Y143"/>
    <mergeCell ref="Z142:Z143"/>
    <mergeCell ref="AA142:AA143"/>
    <mergeCell ref="AB142:AB143"/>
    <mergeCell ref="U47:U48"/>
    <mergeCell ref="X47:X48"/>
    <mergeCell ref="Y47:Y48"/>
    <mergeCell ref="Z47:Z48"/>
    <mergeCell ref="AA47:AA48"/>
    <mergeCell ref="AC47:AC48"/>
    <mergeCell ref="M142:M143"/>
    <mergeCell ref="N142:N143"/>
    <mergeCell ref="C305:C359"/>
    <mergeCell ref="C218:C230"/>
    <mergeCell ref="C207:C209"/>
    <mergeCell ref="C204:C205"/>
    <mergeCell ref="D204:D205"/>
    <mergeCell ref="E204:E205"/>
    <mergeCell ref="F204:F205"/>
    <mergeCell ref="E191:E193"/>
    <mergeCell ref="D191:D193"/>
    <mergeCell ref="F257:F271"/>
    <mergeCell ref="F272:F274"/>
    <mergeCell ref="F275:F276"/>
    <mergeCell ref="C233:C303"/>
    <mergeCell ref="F354:F355"/>
    <mergeCell ref="E353:E355"/>
    <mergeCell ref="F287:F290"/>
    <mergeCell ref="F291:F292"/>
    <mergeCell ref="F283:F286"/>
    <mergeCell ref="E241:E243"/>
    <mergeCell ref="F277:F279"/>
    <mergeCell ref="E251:E282"/>
    <mergeCell ref="E305:E352"/>
    <mergeCell ref="F295:F296"/>
    <mergeCell ref="E283:E296"/>
    <mergeCell ref="O142:O143"/>
    <mergeCell ref="D177:D190"/>
    <mergeCell ref="E194:E199"/>
    <mergeCell ref="D194:D199"/>
    <mergeCell ref="D241:D243"/>
    <mergeCell ref="D305:D352"/>
    <mergeCell ref="D358:D359"/>
    <mergeCell ref="H41:H129"/>
    <mergeCell ref="D124:D129"/>
    <mergeCell ref="E124:E129"/>
    <mergeCell ref="F180:F181"/>
    <mergeCell ref="B304:H304"/>
    <mergeCell ref="B305:B359"/>
    <mergeCell ref="B204:B303"/>
    <mergeCell ref="D233:D236"/>
    <mergeCell ref="C210:C212"/>
    <mergeCell ref="D210:D212"/>
    <mergeCell ref="C216:C217"/>
    <mergeCell ref="D216:D217"/>
    <mergeCell ref="E216:E217"/>
    <mergeCell ref="F216:F217"/>
    <mergeCell ref="F305:F308"/>
    <mergeCell ref="F309:F326"/>
    <mergeCell ref="F327:F350"/>
    <mergeCell ref="D283:D296"/>
    <mergeCell ref="F302:F303"/>
    <mergeCell ref="D251:D282"/>
    <mergeCell ref="F297:F300"/>
    <mergeCell ref="F249:F250"/>
    <mergeCell ref="D245:D250"/>
    <mergeCell ref="E245:E250"/>
    <mergeCell ref="E297:E301"/>
    <mergeCell ref="D297:D301"/>
    <mergeCell ref="M234:M236"/>
    <mergeCell ref="N234:N236"/>
    <mergeCell ref="O234:O236"/>
    <mergeCell ref="R234:R236"/>
    <mergeCell ref="S234:S236"/>
    <mergeCell ref="T234:T236"/>
    <mergeCell ref="U234:U236"/>
    <mergeCell ref="K223:K224"/>
    <mergeCell ref="L223:L224"/>
    <mergeCell ref="M223:M224"/>
    <mergeCell ref="N223:N224"/>
    <mergeCell ref="O223:O224"/>
    <mergeCell ref="R223:R224"/>
    <mergeCell ref="S223:S224"/>
    <mergeCell ref="T223:T224"/>
    <mergeCell ref="U223:U224"/>
    <mergeCell ref="AI234:AI236"/>
    <mergeCell ref="V234:V236"/>
    <mergeCell ref="Y234:Y236"/>
    <mergeCell ref="Z234:Z236"/>
    <mergeCell ref="AA234:AA236"/>
    <mergeCell ref="AB234:AB236"/>
    <mergeCell ref="AC234:AC236"/>
    <mergeCell ref="AF234:AF236"/>
    <mergeCell ref="AG234:AG236"/>
    <mergeCell ref="AH234:AH236"/>
    <mergeCell ref="V223:V224"/>
    <mergeCell ref="Y223:Y224"/>
    <mergeCell ref="Z223:Z224"/>
    <mergeCell ref="AA223:AA224"/>
    <mergeCell ref="AB223:AB224"/>
    <mergeCell ref="AC223:AC224"/>
    <mergeCell ref="AF223:AF224"/>
    <mergeCell ref="AG223:AG224"/>
    <mergeCell ref="AH223:AH224"/>
    <mergeCell ref="AI223:AI224"/>
    <mergeCell ref="AE97:AE116"/>
    <mergeCell ref="AF97:AF116"/>
    <mergeCell ref="AG97:AG116"/>
    <mergeCell ref="AH97:AH116"/>
    <mergeCell ref="AI97:AI116"/>
    <mergeCell ref="F64:F65"/>
    <mergeCell ref="F281:F282"/>
    <mergeCell ref="T97:T116"/>
    <mergeCell ref="U97:U116"/>
    <mergeCell ref="V97:V116"/>
    <mergeCell ref="X97:X116"/>
    <mergeCell ref="Y97:Y116"/>
    <mergeCell ref="Z97:Z116"/>
    <mergeCell ref="AA97:AA116"/>
    <mergeCell ref="AB97:AB116"/>
    <mergeCell ref="AC97:AC116"/>
    <mergeCell ref="J97:J116"/>
    <mergeCell ref="K97:K116"/>
    <mergeCell ref="L97:L116"/>
    <mergeCell ref="M97:M116"/>
    <mergeCell ref="N97:N116"/>
    <mergeCell ref="O97:O116"/>
    <mergeCell ref="Q97:Q116"/>
  </mergeCells>
  <conditionalFormatting sqref="AR213:AR238 AU204:AU233 BF213:BF238 BI204:BI233 BT213:BT238 BW204:BW233 CH213:CH238 CK204:CK233 AO213:AO238 BC213:BC238 BQ213:BQ238 CE213:CE238 AL213:AL303 AZ213:AZ303 BN213:BN303 CB213:CB303 AU305:AU359 BI305:BI359 BW305:BW359 CK305:CK359 AL305:AL359 AZ305:AZ359 BN305:BN359 CB305:CB359 BC16:BC71 AL16:AL71 AR16:AR71 AZ16:AZ71 BF16:BF71 BI16:BI71 BN16:BN71 BT16:BT71 CB16:CB71 CH16:CH71 AO16:AO71 BQ16:BQ71 CE16:CE71 AU16:AU71 BW16:BW71 CK16:CK71 AR137:AR202 AU137:AU202 AL137:AL202 AO137:AO202 BC137:BC202 AZ137:AZ202 BF137:BF202 BI131:BI202 CB137:CB202 BQ137:BQ202 BN137:BN202 BT137:BT202 BW131:BW202 CE137:CE202 CH137:CH202 CK131:CK202">
    <cfRule type="expression" dxfId="12633" priority="34029" stopIfTrue="1">
      <formula>AND(IF(AL16&gt;=#REF!,AL16&lt;&gt;"N/A"))</formula>
    </cfRule>
    <cfRule type="expression" dxfId="12632" priority="34030" stopIfTrue="1">
      <formula>AND(IF(AL16&lt;#REF!,AL16&gt;=#REF!,AL16&lt;&gt;"N/A"))</formula>
    </cfRule>
    <cfRule type="expression" dxfId="12631" priority="34031" stopIfTrue="1">
      <formula>AND(IF(AL16&lt;#REF!,AL16&lt;&gt;"N/A"))</formula>
    </cfRule>
  </conditionalFormatting>
  <conditionalFormatting sqref="AR204:AR212 AO204:AO212 BF204:BF212 BC204:BC212 BT204:BT212 BQ204:BQ212 CH204:CH212 CE204:CE212">
    <cfRule type="expression" dxfId="12630" priority="34023" stopIfTrue="1">
      <formula>AND(IF(AO204&gt;=#REF!,AO204&lt;&gt;"N/A"))</formula>
    </cfRule>
    <cfRule type="expression" dxfId="12629" priority="34024" stopIfTrue="1">
      <formula>AND(IF(AO204&lt;#REF!,AO204&gt;=#REF!,AO204&lt;&gt;"N/A"))</formula>
    </cfRule>
    <cfRule type="expression" dxfId="12628" priority="34025" stopIfTrue="1">
      <formula>AND(IF(AO204&lt;#REF!,AO204&lt;&gt;"N/A"))</formula>
    </cfRule>
  </conditionalFormatting>
  <conditionalFormatting sqref="AL15">
    <cfRule type="expression" dxfId="12627" priority="34020" stopIfTrue="1">
      <formula>AND(IF(AL15&gt;=#REF!,AL15&lt;&gt;"N/A"))</formula>
    </cfRule>
    <cfRule type="expression" dxfId="12626" priority="34021" stopIfTrue="1">
      <formula>AND(IF(AL15&lt;#REF!,AL15&gt;=#REF!,AL15&lt;&gt;"N/A"))</formula>
    </cfRule>
    <cfRule type="expression" dxfId="12625" priority="34022" stopIfTrue="1">
      <formula>AND(IF(AL15&lt;#REF!,AL15&lt;&gt;"N/A"))</formula>
    </cfRule>
  </conditionalFormatting>
  <conditionalFormatting sqref="AU234:AU238">
    <cfRule type="expression" dxfId="12624" priority="34017" stopIfTrue="1">
      <formula>AND(IF(AU234&gt;=#REF!,AU234&lt;&gt;"N/A"))</formula>
    </cfRule>
    <cfRule type="expression" dxfId="12623" priority="34018" stopIfTrue="1">
      <formula>AND(IF(AU234&lt;#REF!,AU234&gt;=#REF!,AU234&lt;&gt;"N/A"))</formula>
    </cfRule>
    <cfRule type="expression" dxfId="12622" priority="34019" stopIfTrue="1">
      <formula>AND(IF(AU234&lt;#REF!,AU234&lt;&gt;"N/A"))</formula>
    </cfRule>
  </conditionalFormatting>
  <conditionalFormatting sqref="AL204:AL212">
    <cfRule type="expression" dxfId="12621" priority="34011" stopIfTrue="1">
      <formula>AND(IF(AL204&gt;=#REF!,AL204&lt;&gt;"N/A"))</formula>
    </cfRule>
    <cfRule type="expression" dxfId="12620" priority="34012" stopIfTrue="1">
      <formula>AND(IF(AL204&lt;#REF!,AL204&gt;=#REF!,AL204&lt;&gt;"N/A"))</formula>
    </cfRule>
    <cfRule type="expression" dxfId="12619" priority="34013" stopIfTrue="1">
      <formula>AND(IF(AL204&lt;#REF!,AL204&lt;&gt;"N/A"))</formula>
    </cfRule>
  </conditionalFormatting>
  <conditionalFormatting sqref="AL131:AL136">
    <cfRule type="expression" dxfId="12618" priority="34005" stopIfTrue="1">
      <formula>AND(IF(AL131&gt;=#REF!,AL131&lt;&gt;"N/A"))</formula>
    </cfRule>
    <cfRule type="expression" dxfId="12617" priority="34006" stopIfTrue="1">
      <formula>AND(IF(AL131&lt;#REF!,AL131&gt;=#REF!,AL131&lt;&gt;"N/A"))</formula>
    </cfRule>
    <cfRule type="expression" dxfId="12616" priority="34007" stopIfTrue="1">
      <formula>AND(IF(AL131&lt;#REF!,AL131&lt;&gt;"N/A"))</formula>
    </cfRule>
  </conditionalFormatting>
  <conditionalFormatting sqref="AU15">
    <cfRule type="expression" dxfId="12615" priority="34002" stopIfTrue="1">
      <formula>AND(IF(AU15&gt;=#REF!,AU15&lt;&gt;"N/A"))</formula>
    </cfRule>
    <cfRule type="expression" dxfId="12614" priority="34003" stopIfTrue="1">
      <formula>AND(IF(AU15&lt;#REF!,AU15&gt;=#REF!,AU15&lt;&gt;"N/A"))</formula>
    </cfRule>
    <cfRule type="expression" dxfId="12613" priority="34004" stopIfTrue="1">
      <formula>AND(IF(AU15&lt;#REF!,AU15&lt;&gt;"N/A"))</formula>
    </cfRule>
  </conditionalFormatting>
  <conditionalFormatting sqref="AO131:AO136">
    <cfRule type="expression" dxfId="12612" priority="33999" stopIfTrue="1">
      <formula>AND(IF(AO131&gt;=#REF!,AO131&lt;&gt;"N/A"))</formula>
    </cfRule>
    <cfRule type="expression" dxfId="12611" priority="34000" stopIfTrue="1">
      <formula>AND(IF(AO131&lt;#REF!,AO131&gt;=#REF!,AO131&lt;&gt;"N/A"))</formula>
    </cfRule>
    <cfRule type="expression" dxfId="12610" priority="34001" stopIfTrue="1">
      <formula>AND(IF(AO131&lt;#REF!,AO131&lt;&gt;"N/A"))</formula>
    </cfRule>
  </conditionalFormatting>
  <conditionalFormatting sqref="AR131:AR136">
    <cfRule type="expression" dxfId="12609" priority="33996" stopIfTrue="1">
      <formula>AND(IF(AR131&gt;=#REF!,AR131&lt;&gt;"N/A"))</formula>
    </cfRule>
    <cfRule type="expression" dxfId="12608" priority="33997" stopIfTrue="1">
      <formula>AND(IF(AR131&lt;#REF!,AR131&gt;=#REF!,AR131&lt;&gt;"N/A"))</formula>
    </cfRule>
    <cfRule type="expression" dxfId="12607" priority="33998" stopIfTrue="1">
      <formula>AND(IF(AR131&lt;#REF!,AR131&lt;&gt;"N/A"))</formula>
    </cfRule>
  </conditionalFormatting>
  <conditionalFormatting sqref="AU131:AU136">
    <cfRule type="expression" dxfId="12606" priority="33993" stopIfTrue="1">
      <formula>AND(IF(AU131&gt;=#REF!,AU131&lt;&gt;"N/A"))</formula>
    </cfRule>
    <cfRule type="expression" dxfId="12605" priority="33994" stopIfTrue="1">
      <formula>AND(IF(AU131&lt;#REF!,AU131&gt;=#REF!,AU131&lt;&gt;"N/A"))</formula>
    </cfRule>
    <cfRule type="expression" dxfId="12604" priority="33995" stopIfTrue="1">
      <formula>AND(IF(AU131&lt;#REF!,AU131&lt;&gt;"N/A"))</formula>
    </cfRule>
  </conditionalFormatting>
  <conditionalFormatting sqref="AZ15">
    <cfRule type="expression" dxfId="12603" priority="33990" stopIfTrue="1">
      <formula>AND(IF(AZ15&gt;=#REF!,AZ15&lt;&gt;"N/A"))</formula>
    </cfRule>
    <cfRule type="expression" dxfId="12602" priority="33991" stopIfTrue="1">
      <formula>AND(IF(AZ15&lt;#REF!,AZ15&gt;=#REF!,AZ15&lt;&gt;"N/A"))</formula>
    </cfRule>
    <cfRule type="expression" dxfId="12601" priority="33992" stopIfTrue="1">
      <formula>AND(IF(AZ15&lt;#REF!,AZ15&lt;&gt;"N/A"))</formula>
    </cfRule>
  </conditionalFormatting>
  <conditionalFormatting sqref="BI234:BI238">
    <cfRule type="expression" dxfId="12600" priority="33987" stopIfTrue="1">
      <formula>AND(IF(BI234&gt;=#REF!,BI234&lt;&gt;"N/A"))</formula>
    </cfRule>
    <cfRule type="expression" dxfId="12599" priority="33988" stopIfTrue="1">
      <formula>AND(IF(BI234&lt;#REF!,BI234&gt;=#REF!,BI234&lt;&gt;"N/A"))</formula>
    </cfRule>
    <cfRule type="expression" dxfId="12598" priority="33989" stopIfTrue="1">
      <formula>AND(IF(BI234&lt;#REF!,BI234&lt;&gt;"N/A"))</formula>
    </cfRule>
  </conditionalFormatting>
  <conditionalFormatting sqref="AZ204:AZ212">
    <cfRule type="expression" dxfId="12597" priority="33981" stopIfTrue="1">
      <formula>AND(IF(AZ204&gt;=#REF!,AZ204&lt;&gt;"N/A"))</formula>
    </cfRule>
    <cfRule type="expression" dxfId="12596" priority="33982" stopIfTrue="1">
      <formula>AND(IF(AZ204&lt;#REF!,AZ204&gt;=#REF!,AZ204&lt;&gt;"N/A"))</formula>
    </cfRule>
    <cfRule type="expression" dxfId="12595" priority="33983" stopIfTrue="1">
      <formula>AND(IF(AZ204&lt;#REF!,AZ204&lt;&gt;"N/A"))</formula>
    </cfRule>
  </conditionalFormatting>
  <conditionalFormatting sqref="AZ131:AZ136">
    <cfRule type="expression" dxfId="12594" priority="33975" stopIfTrue="1">
      <formula>AND(IF(AZ131&gt;=#REF!,AZ131&lt;&gt;"N/A"))</formula>
    </cfRule>
    <cfRule type="expression" dxfId="12593" priority="33976" stopIfTrue="1">
      <formula>AND(IF(AZ131&lt;#REF!,AZ131&gt;=#REF!,AZ131&lt;&gt;"N/A"))</formula>
    </cfRule>
    <cfRule type="expression" dxfId="12592" priority="33977" stopIfTrue="1">
      <formula>AND(IF(AZ131&lt;#REF!,AZ131&lt;&gt;"N/A"))</formula>
    </cfRule>
  </conditionalFormatting>
  <conditionalFormatting sqref="BI15">
    <cfRule type="expression" dxfId="12591" priority="33972" stopIfTrue="1">
      <formula>AND(IF(BI15&gt;=#REF!,BI15&lt;&gt;"N/A"))</formula>
    </cfRule>
    <cfRule type="expression" dxfId="12590" priority="33973" stopIfTrue="1">
      <formula>AND(IF(BI15&lt;#REF!,BI15&gt;=#REF!,BI15&lt;&gt;"N/A"))</formula>
    </cfRule>
    <cfRule type="expression" dxfId="12589" priority="33974" stopIfTrue="1">
      <formula>AND(IF(BI15&lt;#REF!,BI15&lt;&gt;"N/A"))</formula>
    </cfRule>
  </conditionalFormatting>
  <conditionalFormatting sqref="BC131:BC136">
    <cfRule type="expression" dxfId="12588" priority="33969" stopIfTrue="1">
      <formula>AND(IF(BC131&gt;=#REF!,BC131&lt;&gt;"N/A"))</formula>
    </cfRule>
    <cfRule type="expression" dxfId="12587" priority="33970" stopIfTrue="1">
      <formula>AND(IF(BC131&lt;#REF!,BC131&gt;=#REF!,BC131&lt;&gt;"N/A"))</formula>
    </cfRule>
    <cfRule type="expression" dxfId="12586" priority="33971" stopIfTrue="1">
      <formula>AND(IF(BC131&lt;#REF!,BC131&lt;&gt;"N/A"))</formula>
    </cfRule>
  </conditionalFormatting>
  <conditionalFormatting sqref="BF131:BF136">
    <cfRule type="expression" dxfId="12585" priority="33966" stopIfTrue="1">
      <formula>AND(IF(BF131&gt;=#REF!,BF131&lt;&gt;"N/A"))</formula>
    </cfRule>
    <cfRule type="expression" dxfId="12584" priority="33967" stopIfTrue="1">
      <formula>AND(IF(BF131&lt;#REF!,BF131&gt;=#REF!,BF131&lt;&gt;"N/A"))</formula>
    </cfRule>
    <cfRule type="expression" dxfId="12583" priority="33968" stopIfTrue="1">
      <formula>AND(IF(BF131&lt;#REF!,BF131&lt;&gt;"N/A"))</formula>
    </cfRule>
  </conditionalFormatting>
  <conditionalFormatting sqref="BN15">
    <cfRule type="expression" dxfId="12582" priority="33963" stopIfTrue="1">
      <formula>AND(IF(BN15&gt;=#REF!,BN15&lt;&gt;"N/A"))</formula>
    </cfRule>
    <cfRule type="expression" dxfId="12581" priority="33964" stopIfTrue="1">
      <formula>AND(IF(BN15&lt;#REF!,BN15&gt;=#REF!,BN15&lt;&gt;"N/A"))</formula>
    </cfRule>
    <cfRule type="expression" dxfId="12580" priority="33965" stopIfTrue="1">
      <formula>AND(IF(BN15&lt;#REF!,BN15&lt;&gt;"N/A"))</formula>
    </cfRule>
  </conditionalFormatting>
  <conditionalFormatting sqref="BW234:BW238">
    <cfRule type="expression" dxfId="12579" priority="33960" stopIfTrue="1">
      <formula>AND(IF(BW234&gt;=#REF!,BW234&lt;&gt;"N/A"))</formula>
    </cfRule>
    <cfRule type="expression" dxfId="12578" priority="33961" stopIfTrue="1">
      <formula>AND(IF(BW234&lt;#REF!,BW234&gt;=#REF!,BW234&lt;&gt;"N/A"))</formula>
    </cfRule>
    <cfRule type="expression" dxfId="12577" priority="33962" stopIfTrue="1">
      <formula>AND(IF(BW234&lt;#REF!,BW234&lt;&gt;"N/A"))</formula>
    </cfRule>
  </conditionalFormatting>
  <conditionalFormatting sqref="BN204:BN212">
    <cfRule type="expression" dxfId="12576" priority="33954" stopIfTrue="1">
      <formula>AND(IF(BN204&gt;=#REF!,BN204&lt;&gt;"N/A"))</formula>
    </cfRule>
    <cfRule type="expression" dxfId="12575" priority="33955" stopIfTrue="1">
      <formula>AND(IF(BN204&lt;#REF!,BN204&gt;=#REF!,BN204&lt;&gt;"N/A"))</formula>
    </cfRule>
    <cfRule type="expression" dxfId="12574" priority="33956" stopIfTrue="1">
      <formula>AND(IF(BN204&lt;#REF!,BN204&lt;&gt;"N/A"))</formula>
    </cfRule>
  </conditionalFormatting>
  <conditionalFormatting sqref="BN131:BN136">
    <cfRule type="expression" dxfId="12573" priority="33948" stopIfTrue="1">
      <formula>AND(IF(BN131&gt;=#REF!,BN131&lt;&gt;"N/A"))</formula>
    </cfRule>
    <cfRule type="expression" dxfId="12572" priority="33949" stopIfTrue="1">
      <formula>AND(IF(BN131&lt;#REF!,BN131&gt;=#REF!,BN131&lt;&gt;"N/A"))</formula>
    </cfRule>
    <cfRule type="expression" dxfId="12571" priority="33950" stopIfTrue="1">
      <formula>AND(IF(BN131&lt;#REF!,BN131&lt;&gt;"N/A"))</formula>
    </cfRule>
  </conditionalFormatting>
  <conditionalFormatting sqref="BW15">
    <cfRule type="expression" dxfId="12570" priority="33945" stopIfTrue="1">
      <formula>AND(IF(BW15&gt;=#REF!,BW15&lt;&gt;"N/A"))</formula>
    </cfRule>
    <cfRule type="expression" dxfId="12569" priority="33946" stopIfTrue="1">
      <formula>AND(IF(BW15&lt;#REF!,BW15&gt;=#REF!,BW15&lt;&gt;"N/A"))</formula>
    </cfRule>
    <cfRule type="expression" dxfId="12568" priority="33947" stopIfTrue="1">
      <formula>AND(IF(BW15&lt;#REF!,BW15&lt;&gt;"N/A"))</formula>
    </cfRule>
  </conditionalFormatting>
  <conditionalFormatting sqref="BQ131:BQ136">
    <cfRule type="expression" dxfId="12567" priority="33942" stopIfTrue="1">
      <formula>AND(IF(BQ131&gt;=#REF!,BQ131&lt;&gt;"N/A"))</formula>
    </cfRule>
    <cfRule type="expression" dxfId="12566" priority="33943" stopIfTrue="1">
      <formula>AND(IF(BQ131&lt;#REF!,BQ131&gt;=#REF!,BQ131&lt;&gt;"N/A"))</formula>
    </cfRule>
    <cfRule type="expression" dxfId="12565" priority="33944" stopIfTrue="1">
      <formula>AND(IF(BQ131&lt;#REF!,BQ131&lt;&gt;"N/A"))</formula>
    </cfRule>
  </conditionalFormatting>
  <conditionalFormatting sqref="BT131:BT136">
    <cfRule type="expression" dxfId="12564" priority="33939" stopIfTrue="1">
      <formula>AND(IF(BT131&gt;=#REF!,BT131&lt;&gt;"N/A"))</formula>
    </cfRule>
    <cfRule type="expression" dxfId="12563" priority="33940" stopIfTrue="1">
      <formula>AND(IF(BT131&lt;#REF!,BT131&gt;=#REF!,BT131&lt;&gt;"N/A"))</formula>
    </cfRule>
    <cfRule type="expression" dxfId="12562" priority="33941" stopIfTrue="1">
      <formula>AND(IF(BT131&lt;#REF!,BT131&lt;&gt;"N/A"))</formula>
    </cfRule>
  </conditionalFormatting>
  <conditionalFormatting sqref="CB15">
    <cfRule type="expression" dxfId="12561" priority="33936" stopIfTrue="1">
      <formula>AND(IF(CB15&gt;=#REF!,CB15&lt;&gt;"N/A"))</formula>
    </cfRule>
    <cfRule type="expression" dxfId="12560" priority="33937" stopIfTrue="1">
      <formula>AND(IF(CB15&lt;#REF!,CB15&gt;=#REF!,CB15&lt;&gt;"N/A"))</formula>
    </cfRule>
    <cfRule type="expression" dxfId="12559" priority="33938" stopIfTrue="1">
      <formula>AND(IF(CB15&lt;#REF!,CB15&lt;&gt;"N/A"))</formula>
    </cfRule>
  </conditionalFormatting>
  <conditionalFormatting sqref="CK234:CK238">
    <cfRule type="expression" dxfId="12558" priority="33933" stopIfTrue="1">
      <formula>AND(IF(CK234&gt;=#REF!,CK234&lt;&gt;"N/A"))</formula>
    </cfRule>
    <cfRule type="expression" dxfId="12557" priority="33934" stopIfTrue="1">
      <formula>AND(IF(CK234&lt;#REF!,CK234&gt;=#REF!,CK234&lt;&gt;"N/A"))</formula>
    </cfRule>
    <cfRule type="expression" dxfId="12556" priority="33935" stopIfTrue="1">
      <formula>AND(IF(CK234&lt;#REF!,CK234&lt;&gt;"N/A"))</formula>
    </cfRule>
  </conditionalFormatting>
  <conditionalFormatting sqref="CB204:CB212">
    <cfRule type="expression" dxfId="12555" priority="33927" stopIfTrue="1">
      <formula>AND(IF(CB204&gt;=#REF!,CB204&lt;&gt;"N/A"))</formula>
    </cfRule>
    <cfRule type="expression" dxfId="12554" priority="33928" stopIfTrue="1">
      <formula>AND(IF(CB204&lt;#REF!,CB204&gt;=#REF!,CB204&lt;&gt;"N/A"))</formula>
    </cfRule>
    <cfRule type="expression" dxfId="12553" priority="33929" stopIfTrue="1">
      <formula>AND(IF(CB204&lt;#REF!,CB204&lt;&gt;"N/A"))</formula>
    </cfRule>
  </conditionalFormatting>
  <conditionalFormatting sqref="CB131:CB136">
    <cfRule type="expression" dxfId="12552" priority="33921" stopIfTrue="1">
      <formula>AND(IF(CB131&gt;=#REF!,CB131&lt;&gt;"N/A"))</formula>
    </cfRule>
    <cfRule type="expression" dxfId="12551" priority="33922" stopIfTrue="1">
      <formula>AND(IF(CB131&lt;#REF!,CB131&gt;=#REF!,CB131&lt;&gt;"N/A"))</formula>
    </cfRule>
    <cfRule type="expression" dxfId="12550" priority="33923" stopIfTrue="1">
      <formula>AND(IF(CB131&lt;#REF!,CB131&lt;&gt;"N/A"))</formula>
    </cfRule>
  </conditionalFormatting>
  <conditionalFormatting sqref="CK15">
    <cfRule type="expression" dxfId="12549" priority="33918" stopIfTrue="1">
      <formula>AND(IF(CK15&gt;=#REF!,CK15&lt;&gt;"N/A"))</formula>
    </cfRule>
    <cfRule type="expression" dxfId="12548" priority="33919" stopIfTrue="1">
      <formula>AND(IF(CK15&lt;#REF!,CK15&gt;=#REF!,CK15&lt;&gt;"N/A"))</formula>
    </cfRule>
    <cfRule type="expression" dxfId="12547" priority="33920" stopIfTrue="1">
      <formula>AND(IF(CK15&lt;#REF!,CK15&lt;&gt;"N/A"))</formula>
    </cfRule>
  </conditionalFormatting>
  <conditionalFormatting sqref="CE131:CE136">
    <cfRule type="expression" dxfId="12546" priority="33915" stopIfTrue="1">
      <formula>AND(IF(CE131&gt;=#REF!,CE131&lt;&gt;"N/A"))</formula>
    </cfRule>
    <cfRule type="expression" dxfId="12545" priority="33916" stopIfTrue="1">
      <formula>AND(IF(CE131&lt;#REF!,CE131&gt;=#REF!,CE131&lt;&gt;"N/A"))</formula>
    </cfRule>
    <cfRule type="expression" dxfId="12544" priority="33917" stopIfTrue="1">
      <formula>AND(IF(CE131&lt;#REF!,CE131&lt;&gt;"N/A"))</formula>
    </cfRule>
  </conditionalFormatting>
  <conditionalFormatting sqref="CH131:CH136">
    <cfRule type="expression" dxfId="12543" priority="33912" stopIfTrue="1">
      <formula>AND(IF(CH131&gt;=#REF!,CH131&lt;&gt;"N/A"))</formula>
    </cfRule>
    <cfRule type="expression" dxfId="12542" priority="33913" stopIfTrue="1">
      <formula>AND(IF(CH131&lt;#REF!,CH131&gt;=#REF!,CH131&lt;&gt;"N/A"))</formula>
    </cfRule>
    <cfRule type="expression" dxfId="12541" priority="33914" stopIfTrue="1">
      <formula>AND(IF(CH131&lt;#REF!,CH131&lt;&gt;"N/A"))</formula>
    </cfRule>
  </conditionalFormatting>
  <conditionalFormatting sqref="AG15 AI15 AG131 AI131 K15 S131 Z131 Z15 AF213:AI215 R213:S215 Y213:Z215 R168 R233 Y168:Z168 Y233:Z233 AF168:AI168 AF233:AI233 R154:S155 Y154:Z155 AF243:AF244 AH243:AI244 R35 R59 R176:S176 Y176:Z176 AF176:AI176 L304 L131 L203 L360 AF217:AI217 R217:S217 Y217:Z217 R242:S249 R357:S357 Y242:Z249 Y357:Z357 AF244:AI249 AF357:AI357 K206:L221 Y159:Z162 R159:S162 K34:L36 K144:L152 K40:L44 K136:L142 K225:L226 K239:L279 K282:L298 AF234:AG234 K173:L173 K168:L171 K175:L179 K182:L201 K154:L165 R164:S164 Y164:Z164 AF164:AI164 K317:L326 K348:L350 K346:L346 K327 K301:L303 K56:L56 K229:L234 L228 K352:L355 K117:L128 K223:L223 K222 AF154:AI155 AF159:AI162">
    <cfRule type="cellIs" dxfId="12540" priority="33892" operator="between">
      <formula>0.76</formula>
      <formula>0.95</formula>
    </cfRule>
    <cfRule type="cellIs" dxfId="12539" priority="33893" operator="between">
      <formula>0.51</formula>
      <formula>0.75</formula>
    </cfRule>
    <cfRule type="cellIs" dxfId="12538" priority="33894" operator="greaterThan">
      <formula>1</formula>
    </cfRule>
    <cfRule type="cellIs" dxfId="12537" priority="33895" operator="between">
      <formula>0.96</formula>
      <formula>1</formula>
    </cfRule>
    <cfRule type="cellIs" dxfId="12536" priority="33896" stopIfTrue="1" operator="between">
      <formula>0</formula>
      <formula>0.5</formula>
    </cfRule>
  </conditionalFormatting>
  <conditionalFormatting sqref="K203">
    <cfRule type="cellIs" dxfId="12535" priority="33222" operator="between">
      <formula>0.76</formula>
      <formula>0.95</formula>
    </cfRule>
    <cfRule type="cellIs" dxfId="12534" priority="33223" operator="between">
      <formula>0.51</formula>
      <formula>0.75</formula>
    </cfRule>
    <cfRule type="cellIs" dxfId="12533" priority="33224" operator="greaterThan">
      <formula>1</formula>
    </cfRule>
    <cfRule type="cellIs" dxfId="12532" priority="33225" operator="between">
      <formula>0.96</formula>
      <formula>1</formula>
    </cfRule>
    <cfRule type="cellIs" dxfId="12531" priority="33226" stopIfTrue="1" operator="between">
      <formula>0</formula>
      <formula>0.5</formula>
    </cfRule>
  </conditionalFormatting>
  <conditionalFormatting sqref="K130">
    <cfRule type="cellIs" dxfId="12530" priority="33557" operator="between">
      <formula>0.76</formula>
      <formula>0.95</formula>
    </cfRule>
    <cfRule type="cellIs" dxfId="12529" priority="33558" operator="between">
      <formula>0.51</formula>
      <formula>0.75</formula>
    </cfRule>
    <cfRule type="cellIs" dxfId="12528" priority="33559" operator="greaterThan">
      <formula>1</formula>
    </cfRule>
    <cfRule type="cellIs" dxfId="12527" priority="33560" operator="between">
      <formula>0.96</formula>
      <formula>1</formula>
    </cfRule>
    <cfRule type="cellIs" dxfId="12526" priority="33561" stopIfTrue="1" operator="between">
      <formula>0</formula>
      <formula>0.5</formula>
    </cfRule>
  </conditionalFormatting>
  <conditionalFormatting sqref="K131">
    <cfRule type="cellIs" dxfId="12525" priority="33552" operator="between">
      <formula>0.76</formula>
      <formula>0.95</formula>
    </cfRule>
    <cfRule type="cellIs" dxfId="12524" priority="33553" operator="between">
      <formula>0.51</formula>
      <formula>0.75</formula>
    </cfRule>
    <cfRule type="cellIs" dxfId="12523" priority="33554" operator="greaterThan">
      <formula>1</formula>
    </cfRule>
    <cfRule type="cellIs" dxfId="12522" priority="33555" operator="between">
      <formula>0.96</formula>
      <formula>1</formula>
    </cfRule>
    <cfRule type="cellIs" dxfId="12521" priority="33556" stopIfTrue="1" operator="between">
      <formula>0</formula>
      <formula>0.5</formula>
    </cfRule>
  </conditionalFormatting>
  <conditionalFormatting sqref="K304">
    <cfRule type="cellIs" dxfId="12520" priority="33037" operator="between">
      <formula>0.76</formula>
      <formula>0.95</formula>
    </cfRule>
    <cfRule type="cellIs" dxfId="12519" priority="33038" operator="between">
      <formula>0.51</formula>
      <formula>0.75</formula>
    </cfRule>
    <cfRule type="cellIs" dxfId="12518" priority="33039" operator="greaterThan">
      <formula>1</formula>
    </cfRule>
    <cfRule type="cellIs" dxfId="12517" priority="33040" operator="between">
      <formula>0.96</formula>
      <formula>1</formula>
    </cfRule>
    <cfRule type="cellIs" dxfId="12516" priority="33041" stopIfTrue="1" operator="between">
      <formula>0</formula>
      <formula>0.5</formula>
    </cfRule>
  </conditionalFormatting>
  <conditionalFormatting sqref="K360">
    <cfRule type="cellIs" dxfId="12515" priority="33017" operator="between">
      <formula>0.76</formula>
      <formula>0.95</formula>
    </cfRule>
    <cfRule type="cellIs" dxfId="12514" priority="33018" operator="between">
      <formula>0.51</formula>
      <formula>0.75</formula>
    </cfRule>
    <cfRule type="cellIs" dxfId="12513" priority="33019" operator="greaterThan">
      <formula>1</formula>
    </cfRule>
    <cfRule type="cellIs" dxfId="12512" priority="33020" operator="between">
      <formula>0.96</formula>
      <formula>1</formula>
    </cfRule>
    <cfRule type="cellIs" dxfId="12511" priority="33021" stopIfTrue="1" operator="between">
      <formula>0</formula>
      <formula>0.5</formula>
    </cfRule>
  </conditionalFormatting>
  <conditionalFormatting sqref="R15:S15 S204 R220:S221 Y220:Z221 AF220:AI221 R43:R44 Y43:Z44 AF43:AI44 AF317:AI321 R317:R321 Y317:Y321 AH327:AI327 R327 AF327 R346 Y346:Z346 Y327:Z327 AF346 AH346:AI346 R56 Y56:Z56 AF56:AI56">
    <cfRule type="cellIs" dxfId="12510" priority="33007" operator="between">
      <formula>0.76</formula>
      <formula>0.95</formula>
    </cfRule>
    <cfRule type="cellIs" dxfId="12509" priority="33008" operator="between">
      <formula>0.51</formula>
      <formula>0.75</formula>
    </cfRule>
    <cfRule type="cellIs" dxfId="12508" priority="33009" operator="greaterThan">
      <formula>1</formula>
    </cfRule>
    <cfRule type="cellIs" dxfId="12507" priority="33010" operator="between">
      <formula>0.95</formula>
      <formula>1</formula>
    </cfRule>
    <cfRule type="cellIs" dxfId="12506" priority="33011" stopIfTrue="1" operator="between">
      <formula>0</formula>
      <formula>0.5</formula>
    </cfRule>
  </conditionalFormatting>
  <conditionalFormatting sqref="R203">
    <cfRule type="cellIs" dxfId="12505" priority="32312" operator="between">
      <formula>0.76</formula>
      <formula>0.95</formula>
    </cfRule>
    <cfRule type="cellIs" dxfId="12504" priority="32313" operator="between">
      <formula>0.51</formula>
      <formula>0.75</formula>
    </cfRule>
    <cfRule type="cellIs" dxfId="12503" priority="32314" operator="greaterThan">
      <formula>1</formula>
    </cfRule>
    <cfRule type="cellIs" dxfId="12502" priority="32315" operator="between">
      <formula>0.95</formula>
      <formula>1</formula>
    </cfRule>
    <cfRule type="cellIs" dxfId="12501" priority="32316" stopIfTrue="1" operator="between">
      <formula>0</formula>
      <formula>0.5</formula>
    </cfRule>
  </conditionalFormatting>
  <conditionalFormatting sqref="R204">
    <cfRule type="cellIs" dxfId="12500" priority="32307" operator="between">
      <formula>0.76</formula>
      <formula>0.95</formula>
    </cfRule>
    <cfRule type="cellIs" dxfId="12499" priority="32308" operator="between">
      <formula>0.51</formula>
      <formula>0.75</formula>
    </cfRule>
    <cfRule type="cellIs" dxfId="12498" priority="32309" operator="greaterThan">
      <formula>1</formula>
    </cfRule>
    <cfRule type="cellIs" dxfId="12497" priority="32310" operator="between">
      <formula>0.95</formula>
      <formula>1</formula>
    </cfRule>
    <cfRule type="cellIs" dxfId="12496" priority="32311" stopIfTrue="1" operator="between">
      <formula>0</formula>
      <formula>0.5</formula>
    </cfRule>
  </conditionalFormatting>
  <conditionalFormatting sqref="R130">
    <cfRule type="cellIs" dxfId="12495" priority="32642" operator="between">
      <formula>0.76</formula>
      <formula>0.95</formula>
    </cfRule>
    <cfRule type="cellIs" dxfId="12494" priority="32643" operator="between">
      <formula>0.51</formula>
      <formula>0.75</formula>
    </cfRule>
    <cfRule type="cellIs" dxfId="12493" priority="32644" operator="greaterThan">
      <formula>1</formula>
    </cfRule>
    <cfRule type="cellIs" dxfId="12492" priority="32645" operator="between">
      <formula>0.95</formula>
      <formula>1</formula>
    </cfRule>
    <cfRule type="cellIs" dxfId="12491" priority="32646" stopIfTrue="1" operator="between">
      <formula>0</formula>
      <formula>0.5</formula>
    </cfRule>
  </conditionalFormatting>
  <conditionalFormatting sqref="R131">
    <cfRule type="cellIs" dxfId="12490" priority="32637" operator="between">
      <formula>0.76</formula>
      <formula>0.95</formula>
    </cfRule>
    <cfRule type="cellIs" dxfId="12489" priority="32638" operator="between">
      <formula>0.51</formula>
      <formula>0.75</formula>
    </cfRule>
    <cfRule type="cellIs" dxfId="12488" priority="32639" operator="greaterThan">
      <formula>1</formula>
    </cfRule>
    <cfRule type="cellIs" dxfId="12487" priority="32640" operator="between">
      <formula>0.95</formula>
      <formula>1</formula>
    </cfRule>
    <cfRule type="cellIs" dxfId="12486" priority="32641" stopIfTrue="1" operator="between">
      <formula>0</formula>
      <formula>0.5</formula>
    </cfRule>
  </conditionalFormatting>
  <conditionalFormatting sqref="R152">
    <cfRule type="cellIs" dxfId="12485" priority="32282" operator="between">
      <formula>0.76</formula>
      <formula>0.95</formula>
    </cfRule>
    <cfRule type="cellIs" dxfId="12484" priority="32283" operator="between">
      <formula>0.51</formula>
      <formula>0.75</formula>
    </cfRule>
    <cfRule type="cellIs" dxfId="12483" priority="32284" operator="greaterThan">
      <formula>1</formula>
    </cfRule>
    <cfRule type="cellIs" dxfId="12482" priority="32285" operator="between">
      <formula>0.95</formula>
      <formula>1</formula>
    </cfRule>
    <cfRule type="cellIs" dxfId="12481" priority="32286" stopIfTrue="1" operator="between">
      <formula>0</formula>
      <formula>0.5</formula>
    </cfRule>
  </conditionalFormatting>
  <conditionalFormatting sqref="Y15">
    <cfRule type="cellIs" dxfId="12480" priority="32092" operator="between">
      <formula>0.76</formula>
      <formula>0.95</formula>
    </cfRule>
    <cfRule type="cellIs" dxfId="12479" priority="32093" operator="between">
      <formula>0.51</formula>
      <formula>0.75</formula>
    </cfRule>
    <cfRule type="cellIs" dxfId="12478" priority="32094" operator="greaterThan">
      <formula>1</formula>
    </cfRule>
    <cfRule type="cellIs" dxfId="12477" priority="32095" operator="between">
      <formula>0.95</formula>
      <formula>1</formula>
    </cfRule>
    <cfRule type="cellIs" dxfId="12476" priority="32096" stopIfTrue="1" operator="between">
      <formula>0</formula>
      <formula>0.5</formula>
    </cfRule>
  </conditionalFormatting>
  <conditionalFormatting sqref="Y204">
    <cfRule type="cellIs" dxfId="12475" priority="31402" operator="between">
      <formula>0.76</formula>
      <formula>0.95</formula>
    </cfRule>
    <cfRule type="cellIs" dxfId="12474" priority="31403" operator="between">
      <formula>0.51</formula>
      <formula>0.75</formula>
    </cfRule>
    <cfRule type="cellIs" dxfId="12473" priority="31404" operator="greaterThan">
      <formula>1</formula>
    </cfRule>
    <cfRule type="cellIs" dxfId="12472" priority="31405" operator="between">
      <formula>0.95</formula>
      <formula>1</formula>
    </cfRule>
    <cfRule type="cellIs" dxfId="12471" priority="31406" stopIfTrue="1" operator="between">
      <formula>0</formula>
      <formula>0.5</formula>
    </cfRule>
  </conditionalFormatting>
  <conditionalFormatting sqref="Y131">
    <cfRule type="cellIs" dxfId="12470" priority="31722" operator="between">
      <formula>0.76</formula>
      <formula>0.95</formula>
    </cfRule>
    <cfRule type="cellIs" dxfId="12469" priority="31723" operator="between">
      <formula>0.51</formula>
      <formula>0.75</formula>
    </cfRule>
    <cfRule type="cellIs" dxfId="12468" priority="31724" operator="greaterThan">
      <formula>1</formula>
    </cfRule>
    <cfRule type="cellIs" dxfId="12467" priority="31725" operator="between">
      <formula>0.95</formula>
      <formula>1</formula>
    </cfRule>
    <cfRule type="cellIs" dxfId="12466" priority="31726" stopIfTrue="1" operator="between">
      <formula>0</formula>
      <formula>0.5</formula>
    </cfRule>
  </conditionalFormatting>
  <conditionalFormatting sqref="Y152">
    <cfRule type="cellIs" dxfId="12465" priority="31372" operator="between">
      <formula>0.76</formula>
      <formula>0.95</formula>
    </cfRule>
    <cfRule type="cellIs" dxfId="12464" priority="31373" operator="between">
      <formula>0.51</formula>
      <formula>0.75</formula>
    </cfRule>
    <cfRule type="cellIs" dxfId="12463" priority="31374" operator="greaterThan">
      <formula>1</formula>
    </cfRule>
    <cfRule type="cellIs" dxfId="12462" priority="31375" operator="between">
      <formula>0.95</formula>
      <formula>1</formula>
    </cfRule>
    <cfRule type="cellIs" dxfId="12461" priority="31376" stopIfTrue="1" operator="between">
      <formula>0</formula>
      <formula>0.5</formula>
    </cfRule>
  </conditionalFormatting>
  <conditionalFormatting sqref="AF15">
    <cfRule type="cellIs" dxfId="12460" priority="31187" operator="between">
      <formula>0.76</formula>
      <formula>0.95</formula>
    </cfRule>
    <cfRule type="cellIs" dxfId="12459" priority="31188" operator="between">
      <formula>0.51</formula>
      <formula>0.75</formula>
    </cfRule>
    <cfRule type="cellIs" dxfId="12458" priority="31189" operator="greaterThan">
      <formula>1</formula>
    </cfRule>
    <cfRule type="cellIs" dxfId="12457" priority="31190" operator="between">
      <formula>0.95</formula>
      <formula>1</formula>
    </cfRule>
    <cfRule type="cellIs" dxfId="12456" priority="31191" stopIfTrue="1" operator="between">
      <formula>0</formula>
      <formula>0.5</formula>
    </cfRule>
  </conditionalFormatting>
  <conditionalFormatting sqref="AF204">
    <cfRule type="cellIs" dxfId="12455" priority="30502" operator="between">
      <formula>0.76</formula>
      <formula>0.95</formula>
    </cfRule>
    <cfRule type="cellIs" dxfId="12454" priority="30503" operator="between">
      <formula>0.51</formula>
      <formula>0.75</formula>
    </cfRule>
    <cfRule type="cellIs" dxfId="12453" priority="30504" operator="greaterThan">
      <formula>1</formula>
    </cfRule>
    <cfRule type="cellIs" dxfId="12452" priority="30505" operator="between">
      <formula>0.95</formula>
      <formula>1</formula>
    </cfRule>
    <cfRule type="cellIs" dxfId="12451" priority="30506" stopIfTrue="1" operator="between">
      <formula>0</formula>
      <formula>0.5</formula>
    </cfRule>
  </conditionalFormatting>
  <conditionalFormatting sqref="AF131">
    <cfRule type="cellIs" dxfId="12450" priority="30827" operator="between">
      <formula>0.76</formula>
      <formula>0.95</formula>
    </cfRule>
    <cfRule type="cellIs" dxfId="12449" priority="30828" operator="between">
      <formula>0.51</formula>
      <formula>0.75</formula>
    </cfRule>
    <cfRule type="cellIs" dxfId="12448" priority="30829" operator="greaterThan">
      <formula>1</formula>
    </cfRule>
    <cfRule type="cellIs" dxfId="12447" priority="30830" operator="between">
      <formula>0.95</formula>
      <formula>1</formula>
    </cfRule>
    <cfRule type="cellIs" dxfId="12446" priority="30831" stopIfTrue="1" operator="between">
      <formula>0</formula>
      <formula>0.5</formula>
    </cfRule>
  </conditionalFormatting>
  <conditionalFormatting sqref="AF152">
    <cfRule type="cellIs" dxfId="12445" priority="30477" operator="between">
      <formula>0.76</formula>
      <formula>0.95</formula>
    </cfRule>
    <cfRule type="cellIs" dxfId="12444" priority="30478" operator="between">
      <formula>0.51</formula>
      <formula>0.75</formula>
    </cfRule>
    <cfRule type="cellIs" dxfId="12443" priority="30479" operator="greaterThan">
      <formula>1</formula>
    </cfRule>
    <cfRule type="cellIs" dxfId="12442" priority="30480" operator="between">
      <formula>0.95</formula>
      <formula>1</formula>
    </cfRule>
    <cfRule type="cellIs" dxfId="12441" priority="30481" stopIfTrue="1" operator="between">
      <formula>0</formula>
      <formula>0.5</formula>
    </cfRule>
  </conditionalFormatting>
  <conditionalFormatting sqref="AH15">
    <cfRule type="cellIs" dxfId="12440" priority="30267" operator="between">
      <formula>0.76</formula>
      <formula>0.95</formula>
    </cfRule>
    <cfRule type="cellIs" dxfId="12439" priority="30268" operator="between">
      <formula>0.51</formula>
      <formula>0.75</formula>
    </cfRule>
    <cfRule type="cellIs" dxfId="12438" priority="30269" operator="greaterThan">
      <formula>1</formula>
    </cfRule>
    <cfRule type="cellIs" dxfId="12437" priority="30270" operator="between">
      <formula>0.95</formula>
      <formula>1</formula>
    </cfRule>
    <cfRule type="cellIs" dxfId="12436" priority="30271" stopIfTrue="1" operator="between">
      <formula>0</formula>
      <formula>0.5</formula>
    </cfRule>
  </conditionalFormatting>
  <conditionalFormatting sqref="T15 T213:T215 T168 T233 T155 T35 T59 T176 T217 T242:T249 T357 T220:T221 T159:T161 T43:T44 T164 T317:T321 T327 T346 T56">
    <cfRule type="cellIs" dxfId="12435" priority="30302" operator="between">
      <formula>0.3751</formula>
      <formula>0.475</formula>
    </cfRule>
    <cfRule type="cellIs" dxfId="12434" priority="30303" operator="between">
      <formula>0.2551</formula>
      <formula>0.375</formula>
    </cfRule>
    <cfRule type="cellIs" dxfId="12433" priority="30304" operator="greaterThan">
      <formula>0.505</formula>
    </cfRule>
    <cfRule type="cellIs" dxfId="12432" priority="30305" operator="between">
      <formula>0.48</formula>
      <formula>0.5</formula>
    </cfRule>
    <cfRule type="cellIs" dxfId="12431" priority="30306" stopIfTrue="1" operator="between">
      <formula>0</formula>
      <formula>0.255</formula>
    </cfRule>
  </conditionalFormatting>
  <conditionalFormatting sqref="AA15:AC15 AA213:AC215 AA168:AC168 AA233:AC233 AA176:AC176 AA217:AC217 AA242:AC249 AA357:AC357 AA220:AC221 AA43:AC44 AA155:AC155 AA164:AC164 AA317:AC321 AA327:AC327 AA346:AC346 AA56:AC56 AA159:AC162">
    <cfRule type="cellIs" dxfId="12430" priority="30272" operator="between">
      <formula>0.56251</formula>
      <formula>0.7125</formula>
    </cfRule>
    <cfRule type="cellIs" dxfId="12429" priority="30273" operator="between">
      <formula>0.3751</formula>
      <formula>0.5625</formula>
    </cfRule>
    <cfRule type="cellIs" dxfId="12428" priority="30274" operator="greaterThan">
      <formula>0.751</formula>
    </cfRule>
    <cfRule type="cellIs" dxfId="12427" priority="30275" operator="between">
      <formula>0.71251</formula>
      <formula>0.75</formula>
    </cfRule>
    <cfRule type="cellIs" dxfId="12426" priority="30276" stopIfTrue="1" operator="between">
      <formula>0</formula>
      <formula>0.375</formula>
    </cfRule>
  </conditionalFormatting>
  <conditionalFormatting sqref="AH204">
    <cfRule type="cellIs" dxfId="12425" priority="29582" operator="between">
      <formula>0.76</formula>
      <formula>0.95</formula>
    </cfRule>
    <cfRule type="cellIs" dxfId="12424" priority="29583" operator="between">
      <formula>0.51</formula>
      <formula>0.75</formula>
    </cfRule>
    <cfRule type="cellIs" dxfId="12423" priority="29584" operator="greaterThan">
      <formula>1</formula>
    </cfRule>
    <cfRule type="cellIs" dxfId="12422" priority="29585" operator="between">
      <formula>0.95</formula>
      <formula>1</formula>
    </cfRule>
    <cfRule type="cellIs" dxfId="12421" priority="29586" stopIfTrue="1" operator="between">
      <formula>0</formula>
      <formula>0.5</formula>
    </cfRule>
  </conditionalFormatting>
  <conditionalFormatting sqref="AH131">
    <cfRule type="cellIs" dxfId="12420" priority="29907" operator="between">
      <formula>0.76</formula>
      <formula>0.95</formula>
    </cfRule>
    <cfRule type="cellIs" dxfId="12419" priority="29908" operator="between">
      <formula>0.51</formula>
      <formula>0.75</formula>
    </cfRule>
    <cfRule type="cellIs" dxfId="12418" priority="29909" operator="greaterThan">
      <formula>1</formula>
    </cfRule>
    <cfRule type="cellIs" dxfId="12417" priority="29910" operator="between">
      <formula>0.95</formula>
      <formula>1</formula>
    </cfRule>
    <cfRule type="cellIs" dxfId="12416" priority="29911" stopIfTrue="1" operator="between">
      <formula>0</formula>
      <formula>0.5</formula>
    </cfRule>
  </conditionalFormatting>
  <conditionalFormatting sqref="M15 M130:O130 O206:O221 O130:O131 M34:M36 O144:O152 O182:O191 M40:M44 O225:O226 O239:O279 O282:O298 O173 O168:O171 O136:O142 O175:O179 O154:O165 O317:O326 O348:O350 O346 O301:O303 O134 O228:O234 O352:O355 M118:M129 O223">
    <cfRule type="cellIs" dxfId="12415" priority="29377" operator="between">
      <formula>0.1876</formula>
      <formula>0.2375</formula>
    </cfRule>
    <cfRule type="cellIs" dxfId="12414" priority="29378" operator="between">
      <formula>0.1251</formula>
      <formula>0.1875</formula>
    </cfRule>
    <cfRule type="cellIs" dxfId="12413" priority="29379" operator="greaterThan">
      <formula>0.25</formula>
    </cfRule>
    <cfRule type="cellIs" dxfId="12412" priority="29380" operator="between">
      <formula>0.2375</formula>
      <formula>0.25</formula>
    </cfRule>
    <cfRule type="cellIs" dxfId="12411" priority="29381" stopIfTrue="1" operator="between">
      <formula>0</formula>
      <formula>0.125</formula>
    </cfRule>
  </conditionalFormatting>
  <conditionalFormatting sqref="M206:N221 M131:N131 N34:O36 M144:N152 M182:N191 M225:N226 M282:N298 M173:N173 M168:N171 M136:N142 M175:N179 M154:N165 M317:N327 M348:N350 M346:N346 M301:N303 M228:N234 M352:N355 O117 N118:O129 M223:N223 M239:N279 N40:O44">
    <cfRule type="cellIs" dxfId="12410" priority="29017" operator="between">
      <formula>0.1876</formula>
      <formula>0.2375</formula>
    </cfRule>
    <cfRule type="cellIs" dxfId="12409" priority="29018" operator="between">
      <formula>0.1251</formula>
      <formula>0.1875</formula>
    </cfRule>
    <cfRule type="cellIs" dxfId="12408" priority="29019" operator="greaterThan">
      <formula>0.25</formula>
    </cfRule>
    <cfRule type="cellIs" dxfId="12407" priority="29020" operator="between">
      <formula>0.2376</formula>
      <formula>0.25</formula>
    </cfRule>
    <cfRule type="cellIs" dxfId="12406" priority="29021" stopIfTrue="1" operator="between">
      <formula>0</formula>
      <formula>0.125</formula>
    </cfRule>
  </conditionalFormatting>
  <conditionalFormatting sqref="T204">
    <cfRule type="cellIs" dxfId="12405" priority="27222" operator="between">
      <formula>0.3751</formula>
      <formula>0.475</formula>
    </cfRule>
    <cfRule type="cellIs" dxfId="12404" priority="27223" operator="between">
      <formula>0.2551</formula>
      <formula>0.375</formula>
    </cfRule>
    <cfRule type="cellIs" dxfId="12403" priority="27224" operator="greaterThan">
      <formula>0.505</formula>
    </cfRule>
    <cfRule type="cellIs" dxfId="12402" priority="27225" operator="between">
      <formula>0.48</formula>
      <formula>0.5</formula>
    </cfRule>
    <cfRule type="cellIs" dxfId="12401" priority="27226" stopIfTrue="1" operator="between">
      <formula>0</formula>
      <formula>0.255</formula>
    </cfRule>
  </conditionalFormatting>
  <conditionalFormatting sqref="T131">
    <cfRule type="cellIs" dxfId="12400" priority="27542" operator="between">
      <formula>0.3751</formula>
      <formula>0.475</formula>
    </cfRule>
    <cfRule type="cellIs" dxfId="12399" priority="27543" operator="between">
      <formula>0.2551</formula>
      <formula>0.375</formula>
    </cfRule>
    <cfRule type="cellIs" dxfId="12398" priority="27544" operator="greaterThan">
      <formula>0.505</formula>
    </cfRule>
    <cfRule type="cellIs" dxfId="12397" priority="27545" operator="between">
      <formula>0.48</formula>
      <formula>0.5</formula>
    </cfRule>
    <cfRule type="cellIs" dxfId="12396" priority="27546" stopIfTrue="1" operator="between">
      <formula>0</formula>
      <formula>0.255</formula>
    </cfRule>
  </conditionalFormatting>
  <conditionalFormatting sqref="U15:V15 U204:V204 U131:V131 U213:V215 U168 U233 U176:V176 U217:V217 U242:V249 U357:V357 U220:V221 U159:V161 U43:U44 U155:V155 U164:V164 U317:V321 U56">
    <cfRule type="cellIs" dxfId="12395" priority="26917" operator="between">
      <formula>0.376</formula>
      <formula>0.475</formula>
    </cfRule>
    <cfRule type="cellIs" dxfId="12394" priority="26918" operator="between">
      <formula>0.2551</formula>
      <formula>0.3751</formula>
    </cfRule>
    <cfRule type="cellIs" dxfId="12393" priority="26919" operator="greaterThan">
      <formula>0.505</formula>
    </cfRule>
    <cfRule type="cellIs" dxfId="12392" priority="26920" operator="between">
      <formula>0.48</formula>
      <formula>0.5</formula>
    </cfRule>
    <cfRule type="cellIs" dxfId="12391" priority="26921" stopIfTrue="1" operator="between">
      <formula>0</formula>
      <formula>0.255</formula>
    </cfRule>
  </conditionalFormatting>
  <conditionalFormatting sqref="Z204">
    <cfRule type="cellIs" dxfId="12390" priority="26727" operator="between">
      <formula>0.76</formula>
      <formula>0.95</formula>
    </cfRule>
    <cfRule type="cellIs" dxfId="12389" priority="26728" operator="between">
      <formula>0.51</formula>
      <formula>0.75</formula>
    </cfRule>
    <cfRule type="cellIs" dxfId="12388" priority="26729" operator="greaterThan">
      <formula>1</formula>
    </cfRule>
    <cfRule type="cellIs" dxfId="12387" priority="26730" operator="between">
      <formula>0.95</formula>
      <formula>1</formula>
    </cfRule>
    <cfRule type="cellIs" dxfId="12386" priority="26731" stopIfTrue="1" operator="between">
      <formula>0</formula>
      <formula>0.5</formula>
    </cfRule>
  </conditionalFormatting>
  <conditionalFormatting sqref="Y130">
    <cfRule type="cellIs" dxfId="12385" priority="26687" operator="between">
      <formula>0.76</formula>
      <formula>0.95</formula>
    </cfRule>
    <cfRule type="cellIs" dxfId="12384" priority="26688" operator="between">
      <formula>0.51</formula>
      <formula>0.75</formula>
    </cfRule>
    <cfRule type="cellIs" dxfId="12383" priority="26689" operator="greaterThan">
      <formula>1</formula>
    </cfRule>
    <cfRule type="cellIs" dxfId="12382" priority="26690" operator="between">
      <formula>0.95</formula>
      <formula>1</formula>
    </cfRule>
    <cfRule type="cellIs" dxfId="12381" priority="26691" stopIfTrue="1" operator="between">
      <formula>0</formula>
      <formula>0.5</formula>
    </cfRule>
  </conditionalFormatting>
  <conditionalFormatting sqref="Y203">
    <cfRule type="cellIs" dxfId="12380" priority="26647" operator="between">
      <formula>0.76</formula>
      <formula>0.95</formula>
    </cfRule>
    <cfRule type="cellIs" dxfId="12379" priority="26648" operator="between">
      <formula>0.51</formula>
      <formula>0.75</formula>
    </cfRule>
    <cfRule type="cellIs" dxfId="12378" priority="26649" operator="greaterThan">
      <formula>1</formula>
    </cfRule>
    <cfRule type="cellIs" dxfId="12377" priority="26650" operator="between">
      <formula>0.95</formula>
      <formula>1</formula>
    </cfRule>
    <cfRule type="cellIs" dxfId="12376" priority="26651" stopIfTrue="1" operator="between">
      <formula>0</formula>
      <formula>0.5</formula>
    </cfRule>
  </conditionalFormatting>
  <conditionalFormatting sqref="AG204 AG152">
    <cfRule type="cellIs" dxfId="12375" priority="26567" operator="between">
      <formula>0.76</formula>
      <formula>0.95</formula>
    </cfRule>
    <cfRule type="cellIs" dxfId="12374" priority="26568" operator="between">
      <formula>0.51</formula>
      <formula>0.75</formula>
    </cfRule>
    <cfRule type="cellIs" dxfId="12373" priority="26569" operator="greaterThan">
      <formula>1</formula>
    </cfRule>
    <cfRule type="cellIs" dxfId="12372" priority="26570" operator="between">
      <formula>0.95</formula>
      <formula>1</formula>
    </cfRule>
    <cfRule type="cellIs" dxfId="12371" priority="26571" stopIfTrue="1" operator="between">
      <formula>0</formula>
      <formula>0.5</formula>
    </cfRule>
  </conditionalFormatting>
  <conditionalFormatting sqref="AI204">
    <cfRule type="cellIs" dxfId="12370" priority="26562" operator="between">
      <formula>0.76</formula>
      <formula>0.95</formula>
    </cfRule>
    <cfRule type="cellIs" dxfId="12369" priority="26563" operator="between">
      <formula>0.51</formula>
      <formula>0.75</formula>
    </cfRule>
    <cfRule type="cellIs" dxfId="12368" priority="26564" operator="greaterThan">
      <formula>1</formula>
    </cfRule>
    <cfRule type="cellIs" dxfId="12367" priority="26565" operator="between">
      <formula>0.95</formula>
      <formula>1</formula>
    </cfRule>
    <cfRule type="cellIs" dxfId="12366" priority="26566" stopIfTrue="1" operator="between">
      <formula>0</formula>
      <formula>0.5</formula>
    </cfRule>
  </conditionalFormatting>
  <conditionalFormatting sqref="AF130">
    <cfRule type="cellIs" dxfId="12365" priority="26507" operator="between">
      <formula>0.76</formula>
      <formula>0.95</formula>
    </cfRule>
    <cfRule type="cellIs" dxfId="12364" priority="26508" operator="between">
      <formula>0.51</formula>
      <formula>0.75</formula>
    </cfRule>
    <cfRule type="cellIs" dxfId="12363" priority="26509" operator="greaterThan">
      <formula>1</formula>
    </cfRule>
    <cfRule type="cellIs" dxfId="12362" priority="26510" operator="between">
      <formula>0.95</formula>
      <formula>1</formula>
    </cfRule>
    <cfRule type="cellIs" dxfId="12361" priority="26511" stopIfTrue="1" operator="between">
      <formula>0</formula>
      <formula>0.5</formula>
    </cfRule>
  </conditionalFormatting>
  <conditionalFormatting sqref="AF203">
    <cfRule type="cellIs" dxfId="12360" priority="26437" operator="between">
      <formula>0.76</formula>
      <formula>0.95</formula>
    </cfRule>
    <cfRule type="cellIs" dxfId="12359" priority="26438" operator="between">
      <formula>0.51</formula>
      <formula>0.75</formula>
    </cfRule>
    <cfRule type="cellIs" dxfId="12358" priority="26439" operator="greaterThan">
      <formula>1</formula>
    </cfRule>
    <cfRule type="cellIs" dxfId="12357" priority="26440" operator="between">
      <formula>0.95</formula>
      <formula>1</formula>
    </cfRule>
    <cfRule type="cellIs" dxfId="12356" priority="26441" stopIfTrue="1" operator="between">
      <formula>0</formula>
      <formula>0.5</formula>
    </cfRule>
  </conditionalFormatting>
  <conditionalFormatting sqref="L15">
    <cfRule type="cellIs" dxfId="12355" priority="26187" operator="between">
      <formula>0.76</formula>
      <formula>0.95</formula>
    </cfRule>
    <cfRule type="cellIs" dxfId="12354" priority="26188" operator="between">
      <formula>0.51</formula>
      <formula>0.75</formula>
    </cfRule>
    <cfRule type="cellIs" dxfId="12353" priority="26189" operator="greaterThan">
      <formula>1</formula>
    </cfRule>
    <cfRule type="cellIs" dxfId="12352" priority="26190" operator="between">
      <formula>0.96</formula>
      <formula>1</formula>
    </cfRule>
    <cfRule type="cellIs" dxfId="12351" priority="26191" stopIfTrue="1" operator="between">
      <formula>0</formula>
      <formula>0.5</formula>
    </cfRule>
  </conditionalFormatting>
  <conditionalFormatting sqref="N15">
    <cfRule type="cellIs" dxfId="12350" priority="26182" operator="between">
      <formula>0.1876</formula>
      <formula>0.2375</formula>
    </cfRule>
    <cfRule type="cellIs" dxfId="12349" priority="26183" operator="between">
      <formula>0.1251</formula>
      <formula>0.1875</formula>
    </cfRule>
    <cfRule type="cellIs" dxfId="12348" priority="26184" operator="greaterThan">
      <formula>0.25</formula>
    </cfRule>
    <cfRule type="cellIs" dxfId="12347" priority="26185" operator="between">
      <formula>0.2376</formula>
      <formula>0.25</formula>
    </cfRule>
    <cfRule type="cellIs" dxfId="12346" priority="26186" stopIfTrue="1" operator="between">
      <formula>0</formula>
      <formula>0.125</formula>
    </cfRule>
  </conditionalFormatting>
  <conditionalFormatting sqref="AI162 AI164">
    <cfRule type="cellIs" dxfId="12345" priority="20342" operator="between">
      <formula>0.76</formula>
      <formula>0.95</formula>
    </cfRule>
    <cfRule type="cellIs" dxfId="12344" priority="20343" operator="between">
      <formula>0.51</formula>
      <formula>0.75</formula>
    </cfRule>
    <cfRule type="cellIs" dxfId="12343" priority="20344" operator="greaterThan">
      <formula>1</formula>
    </cfRule>
    <cfRule type="cellIs" dxfId="12342" priority="20345" operator="between">
      <formula>0.95</formula>
      <formula>1</formula>
    </cfRule>
    <cfRule type="cellIs" dxfId="12341" priority="20346" stopIfTrue="1" operator="between">
      <formula>0</formula>
      <formula>0.5</formula>
    </cfRule>
  </conditionalFormatting>
  <conditionalFormatting sqref="AB204">
    <cfRule type="cellIs" dxfId="12340" priority="19707" operator="between">
      <formula>0.56251</formula>
      <formula>0.7125</formula>
    </cfRule>
    <cfRule type="cellIs" dxfId="12339" priority="19708" operator="between">
      <formula>0.3751</formula>
      <formula>0.5625</formula>
    </cfRule>
    <cfRule type="cellIs" dxfId="12338" priority="19709" operator="greaterThan">
      <formula>0.751</formula>
    </cfRule>
    <cfRule type="cellIs" dxfId="12337" priority="19710" operator="between">
      <formula>0.71251</formula>
      <formula>0.75</formula>
    </cfRule>
    <cfRule type="cellIs" dxfId="12336" priority="19711" stopIfTrue="1" operator="between">
      <formula>0</formula>
      <formula>0.375</formula>
    </cfRule>
  </conditionalFormatting>
  <conditionalFormatting sqref="AB131">
    <cfRule type="cellIs" dxfId="12335" priority="19632" operator="between">
      <formula>0.56251</formula>
      <formula>0.7125</formula>
    </cfRule>
    <cfRule type="cellIs" dxfId="12334" priority="19633" operator="between">
      <formula>0.3751</formula>
      <formula>0.5625</formula>
    </cfRule>
    <cfRule type="cellIs" dxfId="12333" priority="19634" operator="greaterThan">
      <formula>0.751</formula>
    </cfRule>
    <cfRule type="cellIs" dxfId="12332" priority="19635" operator="between">
      <formula>0.71251</formula>
      <formula>0.75</formula>
    </cfRule>
    <cfRule type="cellIs" dxfId="12331" priority="19636" stopIfTrue="1" operator="between">
      <formula>0</formula>
      <formula>0.375</formula>
    </cfRule>
  </conditionalFormatting>
  <conditionalFormatting sqref="AA204">
    <cfRule type="cellIs" dxfId="12330" priority="19717" operator="between">
      <formula>0.56251</formula>
      <formula>0.7125</formula>
    </cfRule>
    <cfRule type="cellIs" dxfId="12329" priority="19718" operator="between">
      <formula>0.3751</formula>
      <formula>0.5625</formula>
    </cfRule>
    <cfRule type="cellIs" dxfId="12328" priority="19719" operator="greaterThan">
      <formula>0.751</formula>
    </cfRule>
    <cfRule type="cellIs" dxfId="12327" priority="19720" operator="between">
      <formula>0.71251</formula>
      <formula>0.75</formula>
    </cfRule>
    <cfRule type="cellIs" dxfId="12326" priority="19721" stopIfTrue="1" operator="between">
      <formula>0</formula>
      <formula>0.375</formula>
    </cfRule>
  </conditionalFormatting>
  <conditionalFormatting sqref="AC204">
    <cfRule type="cellIs" dxfId="12325" priority="19712" operator="between">
      <formula>0.56251</formula>
      <formula>0.7125</formula>
    </cfRule>
    <cfRule type="cellIs" dxfId="12324" priority="19713" operator="between">
      <formula>0.3751</formula>
      <formula>0.5625</formula>
    </cfRule>
    <cfRule type="cellIs" dxfId="12323" priority="19714" operator="greaterThan">
      <formula>0.751</formula>
    </cfRule>
    <cfRule type="cellIs" dxfId="12322" priority="19715" operator="between">
      <formula>0.71251</formula>
      <formula>0.75</formula>
    </cfRule>
    <cfRule type="cellIs" dxfId="12321" priority="19716" stopIfTrue="1" operator="between">
      <formula>0</formula>
      <formula>0.375</formula>
    </cfRule>
  </conditionalFormatting>
  <conditionalFormatting sqref="AA131">
    <cfRule type="cellIs" dxfId="12320" priority="19642" operator="between">
      <formula>0.56251</formula>
      <formula>0.7125</formula>
    </cfRule>
    <cfRule type="cellIs" dxfId="12319" priority="19643" operator="between">
      <formula>0.3751</formula>
      <formula>0.5625</formula>
    </cfRule>
    <cfRule type="cellIs" dxfId="12318" priority="19644" operator="greaterThan">
      <formula>0.751</formula>
    </cfRule>
    <cfRule type="cellIs" dxfId="12317" priority="19645" operator="between">
      <formula>0.71251</formula>
      <formula>0.75</formula>
    </cfRule>
    <cfRule type="cellIs" dxfId="12316" priority="19646" stopIfTrue="1" operator="between">
      <formula>0</formula>
      <formula>0.375</formula>
    </cfRule>
  </conditionalFormatting>
  <conditionalFormatting sqref="AC131">
    <cfRule type="cellIs" dxfId="12315" priority="19637" operator="between">
      <formula>0.56251</formula>
      <formula>0.7125</formula>
    </cfRule>
    <cfRule type="cellIs" dxfId="12314" priority="19638" operator="between">
      <formula>0.3751</formula>
      <formula>0.5625</formula>
    </cfRule>
    <cfRule type="cellIs" dxfId="12313" priority="19639" operator="greaterThan">
      <formula>0.751</formula>
    </cfRule>
    <cfRule type="cellIs" dxfId="12312" priority="19640" operator="between">
      <formula>0.71251</formula>
      <formula>0.75</formula>
    </cfRule>
    <cfRule type="cellIs" dxfId="12311" priority="19641" stopIfTrue="1" operator="between">
      <formula>0</formula>
      <formula>0.375</formula>
    </cfRule>
  </conditionalFormatting>
  <conditionalFormatting sqref="AG134 AI134 S134 Z134">
    <cfRule type="cellIs" dxfId="12310" priority="17755" operator="between">
      <formula>0.76</formula>
      <formula>0.95</formula>
    </cfRule>
    <cfRule type="cellIs" dxfId="12309" priority="17756" operator="between">
      <formula>0.51</formula>
      <formula>0.75</formula>
    </cfRule>
    <cfRule type="cellIs" dxfId="12308" priority="17757" operator="greaterThan">
      <formula>1</formula>
    </cfRule>
    <cfRule type="cellIs" dxfId="12307" priority="17758" operator="between">
      <formula>0.95</formula>
      <formula>1</formula>
    </cfRule>
    <cfRule type="cellIs" dxfId="12306" priority="17759" stopIfTrue="1" operator="between">
      <formula>0</formula>
      <formula>0.5</formula>
    </cfRule>
  </conditionalFormatting>
  <conditionalFormatting sqref="R134">
    <cfRule type="cellIs" dxfId="12305" priority="17745" operator="between">
      <formula>0.76</formula>
      <formula>0.95</formula>
    </cfRule>
    <cfRule type="cellIs" dxfId="12304" priority="17746" operator="between">
      <formula>0.51</formula>
      <formula>0.75</formula>
    </cfRule>
    <cfRule type="cellIs" dxfId="12303" priority="17747" operator="greaterThan">
      <formula>1</formula>
    </cfRule>
    <cfRule type="cellIs" dxfId="12302" priority="17748" operator="between">
      <formula>0.95</formula>
      <formula>1</formula>
    </cfRule>
    <cfRule type="cellIs" dxfId="12301" priority="17749" stopIfTrue="1" operator="between">
      <formula>0</formula>
      <formula>0.5</formula>
    </cfRule>
  </conditionalFormatting>
  <conditionalFormatting sqref="Y134">
    <cfRule type="cellIs" dxfId="12300" priority="17740" operator="between">
      <formula>0.76</formula>
      <formula>0.95</formula>
    </cfRule>
    <cfRule type="cellIs" dxfId="12299" priority="17741" operator="between">
      <formula>0.51</formula>
      <formula>0.75</formula>
    </cfRule>
    <cfRule type="cellIs" dxfId="12298" priority="17742" operator="greaterThan">
      <formula>1</formula>
    </cfRule>
    <cfRule type="cellIs" dxfId="12297" priority="17743" operator="between">
      <formula>0.95</formula>
      <formula>1</formula>
    </cfRule>
    <cfRule type="cellIs" dxfId="12296" priority="17744" stopIfTrue="1" operator="between">
      <formula>0</formula>
      <formula>0.5</formula>
    </cfRule>
  </conditionalFormatting>
  <conditionalFormatting sqref="AF134">
    <cfRule type="cellIs" dxfId="12295" priority="17735" operator="between">
      <formula>0.76</formula>
      <formula>0.95</formula>
    </cfRule>
    <cfRule type="cellIs" dxfId="12294" priority="17736" operator="between">
      <formula>0.51</formula>
      <formula>0.75</formula>
    </cfRule>
    <cfRule type="cellIs" dxfId="12293" priority="17737" operator="greaterThan">
      <formula>1</formula>
    </cfRule>
    <cfRule type="cellIs" dxfId="12292" priority="17738" operator="between">
      <formula>0.95</formula>
      <formula>1</formula>
    </cfRule>
    <cfRule type="cellIs" dxfId="12291" priority="17739" stopIfTrue="1" operator="between">
      <formula>0</formula>
      <formula>0.5</formula>
    </cfRule>
  </conditionalFormatting>
  <conditionalFormatting sqref="AH134">
    <cfRule type="cellIs" dxfId="12290" priority="17730" operator="between">
      <formula>0.76</formula>
      <formula>0.95</formula>
    </cfRule>
    <cfRule type="cellIs" dxfId="12289" priority="17731" operator="between">
      <formula>0.51</formula>
      <formula>0.75</formula>
    </cfRule>
    <cfRule type="cellIs" dxfId="12288" priority="17732" operator="greaterThan">
      <formula>1</formula>
    </cfRule>
    <cfRule type="cellIs" dxfId="12287" priority="17733" operator="between">
      <formula>0.95</formula>
      <formula>1</formula>
    </cfRule>
    <cfRule type="cellIs" dxfId="12286" priority="17734" stopIfTrue="1" operator="between">
      <formula>0</formula>
      <formula>0.5</formula>
    </cfRule>
  </conditionalFormatting>
  <conditionalFormatting sqref="T134">
    <cfRule type="cellIs" dxfId="12285" priority="17715" operator="between">
      <formula>0.3751</formula>
      <formula>0.475</formula>
    </cfRule>
    <cfRule type="cellIs" dxfId="12284" priority="17716" operator="between">
      <formula>0.2551</formula>
      <formula>0.375</formula>
    </cfRule>
    <cfRule type="cellIs" dxfId="12283" priority="17717" operator="greaterThan">
      <formula>0.505</formula>
    </cfRule>
    <cfRule type="cellIs" dxfId="12282" priority="17718" operator="between">
      <formula>0.48</formula>
      <formula>0.5</formula>
    </cfRule>
    <cfRule type="cellIs" dxfId="12281" priority="17719" stopIfTrue="1" operator="between">
      <formula>0</formula>
      <formula>0.255</formula>
    </cfRule>
  </conditionalFormatting>
  <conditionalFormatting sqref="U134:V134">
    <cfRule type="cellIs" dxfId="12280" priority="17710" operator="between">
      <formula>0.376</formula>
      <formula>0.475</formula>
    </cfRule>
    <cfRule type="cellIs" dxfId="12279" priority="17711" operator="between">
      <formula>0.2551</formula>
      <formula>0.3751</formula>
    </cfRule>
    <cfRule type="cellIs" dxfId="12278" priority="17712" operator="greaterThan">
      <formula>0.505</formula>
    </cfRule>
    <cfRule type="cellIs" dxfId="12277" priority="17713" operator="between">
      <formula>0.48</formula>
      <formula>0.5</formula>
    </cfRule>
    <cfRule type="cellIs" dxfId="12276" priority="17714" stopIfTrue="1" operator="between">
      <formula>0</formula>
      <formula>0.255</formula>
    </cfRule>
  </conditionalFormatting>
  <conditionalFormatting sqref="AA134">
    <cfRule type="cellIs" dxfId="12275" priority="17705" operator="between">
      <formula>0.56251</formula>
      <formula>0.7125</formula>
    </cfRule>
    <cfRule type="cellIs" dxfId="12274" priority="17706" operator="between">
      <formula>0.3751</formula>
      <formula>0.5625</formula>
    </cfRule>
    <cfRule type="cellIs" dxfId="12273" priority="17707" operator="greaterThan">
      <formula>0.751</formula>
    </cfRule>
    <cfRule type="cellIs" dxfId="12272" priority="17708" operator="between">
      <formula>0.71251</formula>
      <formula>0.75</formula>
    </cfRule>
    <cfRule type="cellIs" dxfId="12271" priority="17709" stopIfTrue="1" operator="between">
      <formula>0</formula>
      <formula>0.375</formula>
    </cfRule>
  </conditionalFormatting>
  <conditionalFormatting sqref="AC134">
    <cfRule type="cellIs" dxfId="12270" priority="17700" operator="between">
      <formula>0.56251</formula>
      <formula>0.7125</formula>
    </cfRule>
    <cfRule type="cellIs" dxfId="12269" priority="17701" operator="between">
      <formula>0.3751</formula>
      <formula>0.5625</formula>
    </cfRule>
    <cfRule type="cellIs" dxfId="12268" priority="17702" operator="greaterThan">
      <formula>0.751</formula>
    </cfRule>
    <cfRule type="cellIs" dxfId="12267" priority="17703" operator="between">
      <formula>0.71251</formula>
      <formula>0.75</formula>
    </cfRule>
    <cfRule type="cellIs" dxfId="12266" priority="17704" stopIfTrue="1" operator="between">
      <formula>0</formula>
      <formula>0.375</formula>
    </cfRule>
  </conditionalFormatting>
  <conditionalFormatting sqref="AB134">
    <cfRule type="cellIs" dxfId="12265" priority="17695" operator="between">
      <formula>0.56251</formula>
      <formula>0.7125</formula>
    </cfRule>
    <cfRule type="cellIs" dxfId="12264" priority="17696" operator="between">
      <formula>0.3751</formula>
      <formula>0.5625</formula>
    </cfRule>
    <cfRule type="cellIs" dxfId="12263" priority="17697" operator="greaterThan">
      <formula>0.751</formula>
    </cfRule>
    <cfRule type="cellIs" dxfId="12262" priority="17698" operator="between">
      <formula>0.71251</formula>
      <formula>0.75</formula>
    </cfRule>
    <cfRule type="cellIs" dxfId="12261" priority="17699" stopIfTrue="1" operator="between">
      <formula>0</formula>
      <formula>0.375</formula>
    </cfRule>
  </conditionalFormatting>
  <conditionalFormatting sqref="AG16 AI16 Z16">
    <cfRule type="cellIs" dxfId="12260" priority="17678" operator="between">
      <formula>0.76</formula>
      <formula>0.95</formula>
    </cfRule>
    <cfRule type="cellIs" dxfId="12259" priority="17679" operator="between">
      <formula>0.51</formula>
      <formula>0.75</formula>
    </cfRule>
    <cfRule type="cellIs" dxfId="12258" priority="17680" operator="greaterThan">
      <formula>1</formula>
    </cfRule>
    <cfRule type="cellIs" dxfId="12257" priority="17681" operator="between">
      <formula>0.95</formula>
      <formula>1</formula>
    </cfRule>
    <cfRule type="cellIs" dxfId="12256" priority="17682" stopIfTrue="1" operator="between">
      <formula>0</formula>
      <formula>0.5</formula>
    </cfRule>
  </conditionalFormatting>
  <conditionalFormatting sqref="R16:S16">
    <cfRule type="cellIs" dxfId="12255" priority="17673" operator="between">
      <formula>0.76</formula>
      <formula>0.95</formula>
    </cfRule>
    <cfRule type="cellIs" dxfId="12254" priority="17674" operator="between">
      <formula>0.51</formula>
      <formula>0.75</formula>
    </cfRule>
    <cfRule type="cellIs" dxfId="12253" priority="17675" operator="greaterThan">
      <formula>1</formula>
    </cfRule>
    <cfRule type="cellIs" dxfId="12252" priority="17676" operator="between">
      <formula>0.95</formula>
      <formula>1</formula>
    </cfRule>
    <cfRule type="cellIs" dxfId="12251" priority="17677" stopIfTrue="1" operator="between">
      <formula>0</formula>
      <formula>0.5</formula>
    </cfRule>
  </conditionalFormatting>
  <conditionalFormatting sqref="Y16">
    <cfRule type="cellIs" dxfId="12250" priority="17668" operator="between">
      <formula>0.76</formula>
      <formula>0.95</formula>
    </cfRule>
    <cfRule type="cellIs" dxfId="12249" priority="17669" operator="between">
      <formula>0.51</formula>
      <formula>0.75</formula>
    </cfRule>
    <cfRule type="cellIs" dxfId="12248" priority="17670" operator="greaterThan">
      <formula>1</formula>
    </cfRule>
    <cfRule type="cellIs" dxfId="12247" priority="17671" operator="between">
      <formula>0.95</formula>
      <formula>1</formula>
    </cfRule>
    <cfRule type="cellIs" dxfId="12246" priority="17672" stopIfTrue="1" operator="between">
      <formula>0</formula>
      <formula>0.5</formula>
    </cfRule>
  </conditionalFormatting>
  <conditionalFormatting sqref="AF16">
    <cfRule type="cellIs" dxfId="12245" priority="17663" operator="between">
      <formula>0.76</formula>
      <formula>0.95</formula>
    </cfRule>
    <cfRule type="cellIs" dxfId="12244" priority="17664" operator="between">
      <formula>0.51</formula>
      <formula>0.75</formula>
    </cfRule>
    <cfRule type="cellIs" dxfId="12243" priority="17665" operator="greaterThan">
      <formula>1</formula>
    </cfRule>
    <cfRule type="cellIs" dxfId="12242" priority="17666" operator="between">
      <formula>0.95</formula>
      <formula>1</formula>
    </cfRule>
    <cfRule type="cellIs" dxfId="12241" priority="17667" stopIfTrue="1" operator="between">
      <formula>0</formula>
      <formula>0.5</formula>
    </cfRule>
  </conditionalFormatting>
  <conditionalFormatting sqref="T16">
    <cfRule type="cellIs" dxfId="12240" priority="17658" operator="between">
      <formula>0.3751</formula>
      <formula>0.475</formula>
    </cfRule>
    <cfRule type="cellIs" dxfId="12239" priority="17659" operator="between">
      <formula>0.2551</formula>
      <formula>0.375</formula>
    </cfRule>
    <cfRule type="cellIs" dxfId="12238" priority="17660" operator="greaterThan">
      <formula>0.505</formula>
    </cfRule>
    <cfRule type="cellIs" dxfId="12237" priority="17661" operator="between">
      <formula>0.48</formula>
      <formula>0.5</formula>
    </cfRule>
    <cfRule type="cellIs" dxfId="12236" priority="17662" stopIfTrue="1" operator="between">
      <formula>0</formula>
      <formula>0.255</formula>
    </cfRule>
  </conditionalFormatting>
  <conditionalFormatting sqref="AA16:AC16">
    <cfRule type="cellIs" dxfId="12235" priority="17653" operator="between">
      <formula>0.56251</formula>
      <formula>0.7125</formula>
    </cfRule>
    <cfRule type="cellIs" dxfId="12234" priority="17654" operator="between">
      <formula>0.3751</formula>
      <formula>0.5625</formula>
    </cfRule>
    <cfRule type="cellIs" dxfId="12233" priority="17655" operator="greaterThan">
      <formula>0.751</formula>
    </cfRule>
    <cfRule type="cellIs" dxfId="12232" priority="17656" operator="between">
      <formula>0.71251</formula>
      <formula>0.75</formula>
    </cfRule>
    <cfRule type="cellIs" dxfId="12231" priority="17657" stopIfTrue="1" operator="between">
      <formula>0</formula>
      <formula>0.375</formula>
    </cfRule>
  </conditionalFormatting>
  <conditionalFormatting sqref="AH16">
    <cfRule type="cellIs" dxfId="12230" priority="17648" operator="between">
      <formula>0.76</formula>
      <formula>0.95</formula>
    </cfRule>
    <cfRule type="cellIs" dxfId="12229" priority="17649" operator="between">
      <formula>0.51</formula>
      <formula>0.75</formula>
    </cfRule>
    <cfRule type="cellIs" dxfId="12228" priority="17650" operator="greaterThan">
      <formula>1</formula>
    </cfRule>
    <cfRule type="cellIs" dxfId="12227" priority="17651" operator="between">
      <formula>0.95</formula>
      <formula>1</formula>
    </cfRule>
    <cfRule type="cellIs" dxfId="12226" priority="17652" stopIfTrue="1" operator="between">
      <formula>0</formula>
      <formula>0.5</formula>
    </cfRule>
  </conditionalFormatting>
  <conditionalFormatting sqref="U16:V16">
    <cfRule type="cellIs" dxfId="12225" priority="17638" operator="between">
      <formula>0.376</formula>
      <formula>0.475</formula>
    </cfRule>
    <cfRule type="cellIs" dxfId="12224" priority="17639" operator="between">
      <formula>0.2551</formula>
      <formula>0.3751</formula>
    </cfRule>
    <cfRule type="cellIs" dxfId="12223" priority="17640" operator="greaterThan">
      <formula>0.505</formula>
    </cfRule>
    <cfRule type="cellIs" dxfId="12222" priority="17641" operator="between">
      <formula>0.48</formula>
      <formula>0.5</formula>
    </cfRule>
    <cfRule type="cellIs" dxfId="12221" priority="17642" stopIfTrue="1" operator="between">
      <formula>0</formula>
      <formula>0.255</formula>
    </cfRule>
  </conditionalFormatting>
  <conditionalFormatting sqref="AG17 AI17 Z17">
    <cfRule type="cellIs" dxfId="12220" priority="17606" operator="between">
      <formula>0.76</formula>
      <formula>0.95</formula>
    </cfRule>
    <cfRule type="cellIs" dxfId="12219" priority="17607" operator="between">
      <formula>0.51</formula>
      <formula>0.75</formula>
    </cfRule>
    <cfRule type="cellIs" dxfId="12218" priority="17608" operator="greaterThan">
      <formula>1</formula>
    </cfRule>
    <cfRule type="cellIs" dxfId="12217" priority="17609" operator="between">
      <formula>0.95</formula>
      <formula>1</formula>
    </cfRule>
    <cfRule type="cellIs" dxfId="12216" priority="17610" stopIfTrue="1" operator="between">
      <formula>0</formula>
      <formula>0.5</formula>
    </cfRule>
  </conditionalFormatting>
  <conditionalFormatting sqref="R17:S17">
    <cfRule type="cellIs" dxfId="12215" priority="17601" operator="between">
      <formula>0.76</formula>
      <formula>0.95</formula>
    </cfRule>
    <cfRule type="cellIs" dxfId="12214" priority="17602" operator="between">
      <formula>0.51</formula>
      <formula>0.75</formula>
    </cfRule>
    <cfRule type="cellIs" dxfId="12213" priority="17603" operator="greaterThan">
      <formula>1</formula>
    </cfRule>
    <cfRule type="cellIs" dxfId="12212" priority="17604" operator="between">
      <formula>0.95</formula>
      <formula>1</formula>
    </cfRule>
    <cfRule type="cellIs" dxfId="12211" priority="17605" stopIfTrue="1" operator="between">
      <formula>0</formula>
      <formula>0.5</formula>
    </cfRule>
  </conditionalFormatting>
  <conditionalFormatting sqref="Y17">
    <cfRule type="cellIs" dxfId="12210" priority="17596" operator="between">
      <formula>0.76</formula>
      <formula>0.95</formula>
    </cfRule>
    <cfRule type="cellIs" dxfId="12209" priority="17597" operator="between">
      <formula>0.51</formula>
      <formula>0.75</formula>
    </cfRule>
    <cfRule type="cellIs" dxfId="12208" priority="17598" operator="greaterThan">
      <formula>1</formula>
    </cfRule>
    <cfRule type="cellIs" dxfId="12207" priority="17599" operator="between">
      <formula>0.95</formula>
      <formula>1</formula>
    </cfRule>
    <cfRule type="cellIs" dxfId="12206" priority="17600" stopIfTrue="1" operator="between">
      <formula>0</formula>
      <formula>0.5</formula>
    </cfRule>
  </conditionalFormatting>
  <conditionalFormatting sqref="AF17">
    <cfRule type="cellIs" dxfId="12205" priority="17591" operator="between">
      <formula>0.76</formula>
      <formula>0.95</formula>
    </cfRule>
    <cfRule type="cellIs" dxfId="12204" priority="17592" operator="between">
      <formula>0.51</formula>
      <formula>0.75</formula>
    </cfRule>
    <cfRule type="cellIs" dxfId="12203" priority="17593" operator="greaterThan">
      <formula>1</formula>
    </cfRule>
    <cfRule type="cellIs" dxfId="12202" priority="17594" operator="between">
      <formula>0.95</formula>
      <formula>1</formula>
    </cfRule>
    <cfRule type="cellIs" dxfId="12201" priority="17595" stopIfTrue="1" operator="between">
      <formula>0</formula>
      <formula>0.5</formula>
    </cfRule>
  </conditionalFormatting>
  <conditionalFormatting sqref="T17">
    <cfRule type="cellIs" dxfId="12200" priority="17586" operator="between">
      <formula>0.3751</formula>
      <formula>0.475</formula>
    </cfRule>
    <cfRule type="cellIs" dxfId="12199" priority="17587" operator="between">
      <formula>0.2551</formula>
      <formula>0.375</formula>
    </cfRule>
    <cfRule type="cellIs" dxfId="12198" priority="17588" operator="greaterThan">
      <formula>0.505</formula>
    </cfRule>
    <cfRule type="cellIs" dxfId="12197" priority="17589" operator="between">
      <formula>0.48</formula>
      <formula>0.5</formula>
    </cfRule>
    <cfRule type="cellIs" dxfId="12196" priority="17590" stopIfTrue="1" operator="between">
      <formula>0</formula>
      <formula>0.255</formula>
    </cfRule>
  </conditionalFormatting>
  <conditionalFormatting sqref="AA17:AC17">
    <cfRule type="cellIs" dxfId="12195" priority="17581" operator="between">
      <formula>0.56251</formula>
      <formula>0.7125</formula>
    </cfRule>
    <cfRule type="cellIs" dxfId="12194" priority="17582" operator="between">
      <formula>0.3751</formula>
      <formula>0.5625</formula>
    </cfRule>
    <cfRule type="cellIs" dxfId="12193" priority="17583" operator="greaterThan">
      <formula>0.751</formula>
    </cfRule>
    <cfRule type="cellIs" dxfId="12192" priority="17584" operator="between">
      <formula>0.71251</formula>
      <formula>0.75</formula>
    </cfRule>
    <cfRule type="cellIs" dxfId="12191" priority="17585" stopIfTrue="1" operator="between">
      <formula>0</formula>
      <formula>0.375</formula>
    </cfRule>
  </conditionalFormatting>
  <conditionalFormatting sqref="AH17">
    <cfRule type="cellIs" dxfId="12190" priority="17576" operator="between">
      <formula>0.76</formula>
      <formula>0.95</formula>
    </cfRule>
    <cfRule type="cellIs" dxfId="12189" priority="17577" operator="between">
      <formula>0.51</formula>
      <formula>0.75</formula>
    </cfRule>
    <cfRule type="cellIs" dxfId="12188" priority="17578" operator="greaterThan">
      <formula>1</formula>
    </cfRule>
    <cfRule type="cellIs" dxfId="12187" priority="17579" operator="between">
      <formula>0.95</formula>
      <formula>1</formula>
    </cfRule>
    <cfRule type="cellIs" dxfId="12186" priority="17580" stopIfTrue="1" operator="between">
      <formula>0</formula>
      <formula>0.5</formula>
    </cfRule>
  </conditionalFormatting>
  <conditionalFormatting sqref="U17:V17">
    <cfRule type="cellIs" dxfId="12185" priority="17566" operator="between">
      <formula>0.376</formula>
      <formula>0.475</formula>
    </cfRule>
    <cfRule type="cellIs" dxfId="12184" priority="17567" operator="between">
      <formula>0.2551</formula>
      <formula>0.3751</formula>
    </cfRule>
    <cfRule type="cellIs" dxfId="12183" priority="17568" operator="greaterThan">
      <formula>0.505</formula>
    </cfRule>
    <cfRule type="cellIs" dxfId="12182" priority="17569" operator="between">
      <formula>0.48</formula>
      <formula>0.5</formula>
    </cfRule>
    <cfRule type="cellIs" dxfId="12181" priority="17570" stopIfTrue="1" operator="between">
      <formula>0</formula>
      <formula>0.255</formula>
    </cfRule>
  </conditionalFormatting>
  <conditionalFormatting sqref="S205">
    <cfRule type="cellIs" dxfId="12180" priority="17524" operator="between">
      <formula>0.76</formula>
      <formula>0.95</formula>
    </cfRule>
    <cfRule type="cellIs" dxfId="12179" priority="17525" operator="between">
      <formula>0.51</formula>
      <formula>0.75</formula>
    </cfRule>
    <cfRule type="cellIs" dxfId="12178" priority="17526" operator="greaterThan">
      <formula>1</formula>
    </cfRule>
    <cfRule type="cellIs" dxfId="12177" priority="17527" operator="between">
      <formula>0.95</formula>
      <formula>1</formula>
    </cfRule>
    <cfRule type="cellIs" dxfId="12176" priority="17528" stopIfTrue="1" operator="between">
      <formula>0</formula>
      <formula>0.5</formula>
    </cfRule>
  </conditionalFormatting>
  <conditionalFormatting sqref="R205">
    <cfRule type="cellIs" dxfId="12175" priority="17519" operator="between">
      <formula>0.76</formula>
      <formula>0.95</formula>
    </cfRule>
    <cfRule type="cellIs" dxfId="12174" priority="17520" operator="between">
      <formula>0.51</formula>
      <formula>0.75</formula>
    </cfRule>
    <cfRule type="cellIs" dxfId="12173" priority="17521" operator="greaterThan">
      <formula>1</formula>
    </cfRule>
    <cfRule type="cellIs" dxfId="12172" priority="17522" operator="between">
      <formula>0.95</formula>
      <formula>1</formula>
    </cfRule>
    <cfRule type="cellIs" dxfId="12171" priority="17523" stopIfTrue="1" operator="between">
      <formula>0</formula>
      <formula>0.5</formula>
    </cfRule>
  </conditionalFormatting>
  <conditionalFormatting sqref="Y205">
    <cfRule type="cellIs" dxfId="12170" priority="17514" operator="between">
      <formula>0.76</formula>
      <formula>0.95</formula>
    </cfRule>
    <cfRule type="cellIs" dxfId="12169" priority="17515" operator="between">
      <formula>0.51</formula>
      <formula>0.75</formula>
    </cfRule>
    <cfRule type="cellIs" dxfId="12168" priority="17516" operator="greaterThan">
      <formula>1</formula>
    </cfRule>
    <cfRule type="cellIs" dxfId="12167" priority="17517" operator="between">
      <formula>0.95</formula>
      <formula>1</formula>
    </cfRule>
    <cfRule type="cellIs" dxfId="12166" priority="17518" stopIfTrue="1" operator="between">
      <formula>0</formula>
      <formula>0.5</formula>
    </cfRule>
  </conditionalFormatting>
  <conditionalFormatting sqref="AF205">
    <cfRule type="cellIs" dxfId="12165" priority="17509" operator="between">
      <formula>0.76</formula>
      <formula>0.95</formula>
    </cfRule>
    <cfRule type="cellIs" dxfId="12164" priority="17510" operator="between">
      <formula>0.51</formula>
      <formula>0.75</formula>
    </cfRule>
    <cfRule type="cellIs" dxfId="12163" priority="17511" operator="greaterThan">
      <formula>1</formula>
    </cfRule>
    <cfRule type="cellIs" dxfId="12162" priority="17512" operator="between">
      <formula>0.95</formula>
      <formula>1</formula>
    </cfRule>
    <cfRule type="cellIs" dxfId="12161" priority="17513" stopIfTrue="1" operator="between">
      <formula>0</formula>
      <formula>0.5</formula>
    </cfRule>
  </conditionalFormatting>
  <conditionalFormatting sqref="AH205">
    <cfRule type="cellIs" dxfId="12160" priority="17504" operator="between">
      <formula>0.76</formula>
      <formula>0.95</formula>
    </cfRule>
    <cfRule type="cellIs" dxfId="12159" priority="17505" operator="between">
      <formula>0.51</formula>
      <formula>0.75</formula>
    </cfRule>
    <cfRule type="cellIs" dxfId="12158" priority="17506" operator="greaterThan">
      <formula>1</formula>
    </cfRule>
    <cfRule type="cellIs" dxfId="12157" priority="17507" operator="between">
      <formula>0.95</formula>
      <formula>1</formula>
    </cfRule>
    <cfRule type="cellIs" dxfId="12156" priority="17508" stopIfTrue="1" operator="between">
      <formula>0</formula>
      <formula>0.5</formula>
    </cfRule>
  </conditionalFormatting>
  <conditionalFormatting sqref="T205">
    <cfRule type="cellIs" dxfId="12155" priority="17489" operator="between">
      <formula>0.3751</formula>
      <formula>0.475</formula>
    </cfRule>
    <cfRule type="cellIs" dxfId="12154" priority="17490" operator="between">
      <formula>0.2551</formula>
      <formula>0.375</formula>
    </cfRule>
    <cfRule type="cellIs" dxfId="12153" priority="17491" operator="greaterThan">
      <formula>0.505</formula>
    </cfRule>
    <cfRule type="cellIs" dxfId="12152" priority="17492" operator="between">
      <formula>0.48</formula>
      <formula>0.5</formula>
    </cfRule>
    <cfRule type="cellIs" dxfId="12151" priority="17493" stopIfTrue="1" operator="between">
      <formula>0</formula>
      <formula>0.255</formula>
    </cfRule>
  </conditionalFormatting>
  <conditionalFormatting sqref="U205:V205">
    <cfRule type="cellIs" dxfId="12150" priority="17484" operator="between">
      <formula>0.376</formula>
      <formula>0.475</formula>
    </cfRule>
    <cfRule type="cellIs" dxfId="12149" priority="17485" operator="between">
      <formula>0.2551</formula>
      <formula>0.3751</formula>
    </cfRule>
    <cfRule type="cellIs" dxfId="12148" priority="17486" operator="greaterThan">
      <formula>0.505</formula>
    </cfRule>
    <cfRule type="cellIs" dxfId="12147" priority="17487" operator="between">
      <formula>0.48</formula>
      <formula>0.5</formula>
    </cfRule>
    <cfRule type="cellIs" dxfId="12146" priority="17488" stopIfTrue="1" operator="between">
      <formula>0</formula>
      <formula>0.255</formula>
    </cfRule>
  </conditionalFormatting>
  <conditionalFormatting sqref="Z205">
    <cfRule type="cellIs" dxfId="12145" priority="17479" operator="between">
      <formula>0.76</formula>
      <formula>0.95</formula>
    </cfRule>
    <cfRule type="cellIs" dxfId="12144" priority="17480" operator="between">
      <formula>0.51</formula>
      <formula>0.75</formula>
    </cfRule>
    <cfRule type="cellIs" dxfId="12143" priority="17481" operator="greaterThan">
      <formula>1</formula>
    </cfRule>
    <cfRule type="cellIs" dxfId="12142" priority="17482" operator="between">
      <formula>0.95</formula>
      <formula>1</formula>
    </cfRule>
    <cfRule type="cellIs" dxfId="12141" priority="17483" stopIfTrue="1" operator="between">
      <formula>0</formula>
      <formula>0.5</formula>
    </cfRule>
  </conditionalFormatting>
  <conditionalFormatting sqref="AG205">
    <cfRule type="cellIs" dxfId="12140" priority="17474" operator="between">
      <formula>0.76</formula>
      <formula>0.95</formula>
    </cfRule>
    <cfRule type="cellIs" dxfId="12139" priority="17475" operator="between">
      <formula>0.51</formula>
      <formula>0.75</formula>
    </cfRule>
    <cfRule type="cellIs" dxfId="12138" priority="17476" operator="greaterThan">
      <formula>1</formula>
    </cfRule>
    <cfRule type="cellIs" dxfId="12137" priority="17477" operator="between">
      <formula>0.95</formula>
      <formula>1</formula>
    </cfRule>
    <cfRule type="cellIs" dxfId="12136" priority="17478" stopIfTrue="1" operator="between">
      <formula>0</formula>
      <formula>0.5</formula>
    </cfRule>
  </conditionalFormatting>
  <conditionalFormatting sqref="AI205">
    <cfRule type="cellIs" dxfId="12135" priority="17469" operator="between">
      <formula>0.76</formula>
      <formula>0.95</formula>
    </cfRule>
    <cfRule type="cellIs" dxfId="12134" priority="17470" operator="between">
      <formula>0.51</formula>
      <formula>0.75</formula>
    </cfRule>
    <cfRule type="cellIs" dxfId="12133" priority="17471" operator="greaterThan">
      <formula>1</formula>
    </cfRule>
    <cfRule type="cellIs" dxfId="12132" priority="17472" operator="between">
      <formula>0.95</formula>
      <formula>1</formula>
    </cfRule>
    <cfRule type="cellIs" dxfId="12131" priority="17473" stopIfTrue="1" operator="between">
      <formula>0</formula>
      <formula>0.5</formula>
    </cfRule>
  </conditionalFormatting>
  <conditionalFormatting sqref="AA205">
    <cfRule type="cellIs" dxfId="12130" priority="17464" operator="between">
      <formula>0.56251</formula>
      <formula>0.7125</formula>
    </cfRule>
    <cfRule type="cellIs" dxfId="12129" priority="17465" operator="between">
      <formula>0.3751</formula>
      <formula>0.5625</formula>
    </cfRule>
    <cfRule type="cellIs" dxfId="12128" priority="17466" operator="greaterThan">
      <formula>0.751</formula>
    </cfRule>
    <cfRule type="cellIs" dxfId="12127" priority="17467" operator="between">
      <formula>0.71251</formula>
      <formula>0.75</formula>
    </cfRule>
    <cfRule type="cellIs" dxfId="12126" priority="17468" stopIfTrue="1" operator="between">
      <formula>0</formula>
      <formula>0.375</formula>
    </cfRule>
  </conditionalFormatting>
  <conditionalFormatting sqref="AC205">
    <cfRule type="cellIs" dxfId="12125" priority="17459" operator="between">
      <formula>0.56251</formula>
      <formula>0.7125</formula>
    </cfRule>
    <cfRule type="cellIs" dxfId="12124" priority="17460" operator="between">
      <formula>0.3751</formula>
      <formula>0.5625</formula>
    </cfRule>
    <cfRule type="cellIs" dxfId="12123" priority="17461" operator="greaterThan">
      <formula>0.751</formula>
    </cfRule>
    <cfRule type="cellIs" dxfId="12122" priority="17462" operator="between">
      <formula>0.71251</formula>
      <formula>0.75</formula>
    </cfRule>
    <cfRule type="cellIs" dxfId="12121" priority="17463" stopIfTrue="1" operator="between">
      <formula>0</formula>
      <formula>0.375</formula>
    </cfRule>
  </conditionalFormatting>
  <conditionalFormatting sqref="AB205">
    <cfRule type="cellIs" dxfId="12120" priority="17454" operator="between">
      <formula>0.56251</formula>
      <formula>0.7125</formula>
    </cfRule>
    <cfRule type="cellIs" dxfId="12119" priority="17455" operator="between">
      <formula>0.3751</formula>
      <formula>0.5625</formula>
    </cfRule>
    <cfRule type="cellIs" dxfId="12118" priority="17456" operator="greaterThan">
      <formula>0.751</formula>
    </cfRule>
    <cfRule type="cellIs" dxfId="12117" priority="17457" operator="between">
      <formula>0.71251</formula>
      <formula>0.75</formula>
    </cfRule>
    <cfRule type="cellIs" dxfId="12116" priority="17458" stopIfTrue="1" operator="between">
      <formula>0</formula>
      <formula>0.375</formula>
    </cfRule>
  </conditionalFormatting>
  <conditionalFormatting sqref="AG136 AI136 S136 Z136">
    <cfRule type="cellIs" dxfId="12115" priority="17437" operator="between">
      <formula>0.76</formula>
      <formula>0.95</formula>
    </cfRule>
    <cfRule type="cellIs" dxfId="12114" priority="17438" operator="between">
      <formula>0.51</formula>
      <formula>0.75</formula>
    </cfRule>
    <cfRule type="cellIs" dxfId="12113" priority="17439" operator="greaterThan">
      <formula>1</formula>
    </cfRule>
    <cfRule type="cellIs" dxfId="12112" priority="17440" operator="between">
      <formula>0.95</formula>
      <formula>1</formula>
    </cfRule>
    <cfRule type="cellIs" dxfId="12111" priority="17441" stopIfTrue="1" operator="between">
      <formula>0</formula>
      <formula>0.5</formula>
    </cfRule>
  </conditionalFormatting>
  <conditionalFormatting sqref="R136">
    <cfRule type="cellIs" dxfId="12110" priority="17427" operator="between">
      <formula>0.76</formula>
      <formula>0.95</formula>
    </cfRule>
    <cfRule type="cellIs" dxfId="12109" priority="17428" operator="between">
      <formula>0.51</formula>
      <formula>0.75</formula>
    </cfRule>
    <cfRule type="cellIs" dxfId="12108" priority="17429" operator="greaterThan">
      <formula>1</formula>
    </cfRule>
    <cfRule type="cellIs" dxfId="12107" priority="17430" operator="between">
      <formula>0.95</formula>
      <formula>1</formula>
    </cfRule>
    <cfRule type="cellIs" dxfId="12106" priority="17431" stopIfTrue="1" operator="between">
      <formula>0</formula>
      <formula>0.5</formula>
    </cfRule>
  </conditionalFormatting>
  <conditionalFormatting sqref="Y136">
    <cfRule type="cellIs" dxfId="12105" priority="17422" operator="between">
      <formula>0.76</formula>
      <formula>0.95</formula>
    </cfRule>
    <cfRule type="cellIs" dxfId="12104" priority="17423" operator="between">
      <formula>0.51</formula>
      <formula>0.75</formula>
    </cfRule>
    <cfRule type="cellIs" dxfId="12103" priority="17424" operator="greaterThan">
      <formula>1</formula>
    </cfRule>
    <cfRule type="cellIs" dxfId="12102" priority="17425" operator="between">
      <formula>0.95</formula>
      <formula>1</formula>
    </cfRule>
    <cfRule type="cellIs" dxfId="12101" priority="17426" stopIfTrue="1" operator="between">
      <formula>0</formula>
      <formula>0.5</formula>
    </cfRule>
  </conditionalFormatting>
  <conditionalFormatting sqref="AF136">
    <cfRule type="cellIs" dxfId="12100" priority="17417" operator="between">
      <formula>0.76</formula>
      <formula>0.95</formula>
    </cfRule>
    <cfRule type="cellIs" dxfId="12099" priority="17418" operator="between">
      <formula>0.51</formula>
      <formula>0.75</formula>
    </cfRule>
    <cfRule type="cellIs" dxfId="12098" priority="17419" operator="greaterThan">
      <formula>1</formula>
    </cfRule>
    <cfRule type="cellIs" dxfId="12097" priority="17420" operator="between">
      <formula>0.95</formula>
      <formula>1</formula>
    </cfRule>
    <cfRule type="cellIs" dxfId="12096" priority="17421" stopIfTrue="1" operator="between">
      <formula>0</formula>
      <formula>0.5</formula>
    </cfRule>
  </conditionalFormatting>
  <conditionalFormatting sqref="AH136">
    <cfRule type="cellIs" dxfId="12095" priority="17412" operator="between">
      <formula>0.76</formula>
      <formula>0.95</formula>
    </cfRule>
    <cfRule type="cellIs" dxfId="12094" priority="17413" operator="between">
      <formula>0.51</formula>
      <formula>0.75</formula>
    </cfRule>
    <cfRule type="cellIs" dxfId="12093" priority="17414" operator="greaterThan">
      <formula>1</formula>
    </cfRule>
    <cfRule type="cellIs" dxfId="12092" priority="17415" operator="between">
      <formula>0.95</formula>
      <formula>1</formula>
    </cfRule>
    <cfRule type="cellIs" dxfId="12091" priority="17416" stopIfTrue="1" operator="between">
      <formula>0</formula>
      <formula>0.5</formula>
    </cfRule>
  </conditionalFormatting>
  <conditionalFormatting sqref="T136">
    <cfRule type="cellIs" dxfId="12090" priority="17397" operator="between">
      <formula>0.3751</formula>
      <formula>0.475</formula>
    </cfRule>
    <cfRule type="cellIs" dxfId="12089" priority="17398" operator="between">
      <formula>0.2551</formula>
      <formula>0.375</formula>
    </cfRule>
    <cfRule type="cellIs" dxfId="12088" priority="17399" operator="greaterThan">
      <formula>0.505</formula>
    </cfRule>
    <cfRule type="cellIs" dxfId="12087" priority="17400" operator="between">
      <formula>0.48</formula>
      <formula>0.5</formula>
    </cfRule>
    <cfRule type="cellIs" dxfId="12086" priority="17401" stopIfTrue="1" operator="between">
      <formula>0</formula>
      <formula>0.255</formula>
    </cfRule>
  </conditionalFormatting>
  <conditionalFormatting sqref="U136:V136">
    <cfRule type="cellIs" dxfId="12085" priority="17392" operator="between">
      <formula>0.376</formula>
      <formula>0.475</formula>
    </cfRule>
    <cfRule type="cellIs" dxfId="12084" priority="17393" operator="between">
      <formula>0.2551</formula>
      <formula>0.3751</formula>
    </cfRule>
    <cfRule type="cellIs" dxfId="12083" priority="17394" operator="greaterThan">
      <formula>0.505</formula>
    </cfRule>
    <cfRule type="cellIs" dxfId="12082" priority="17395" operator="between">
      <formula>0.48</formula>
      <formula>0.5</formula>
    </cfRule>
    <cfRule type="cellIs" dxfId="12081" priority="17396" stopIfTrue="1" operator="between">
      <formula>0</formula>
      <formula>0.255</formula>
    </cfRule>
  </conditionalFormatting>
  <conditionalFormatting sqref="AA136">
    <cfRule type="cellIs" dxfId="12080" priority="17387" operator="between">
      <formula>0.56251</formula>
      <formula>0.7125</formula>
    </cfRule>
    <cfRule type="cellIs" dxfId="12079" priority="17388" operator="between">
      <formula>0.3751</formula>
      <formula>0.5625</formula>
    </cfRule>
    <cfRule type="cellIs" dxfId="12078" priority="17389" operator="greaterThan">
      <formula>0.751</formula>
    </cfRule>
    <cfRule type="cellIs" dxfId="12077" priority="17390" operator="between">
      <formula>0.71251</formula>
      <formula>0.75</formula>
    </cfRule>
    <cfRule type="cellIs" dxfId="12076" priority="17391" stopIfTrue="1" operator="between">
      <formula>0</formula>
      <formula>0.375</formula>
    </cfRule>
  </conditionalFormatting>
  <conditionalFormatting sqref="AC136">
    <cfRule type="cellIs" dxfId="12075" priority="17382" operator="between">
      <formula>0.56251</formula>
      <formula>0.7125</formula>
    </cfRule>
    <cfRule type="cellIs" dxfId="12074" priority="17383" operator="between">
      <formula>0.3751</formula>
      <formula>0.5625</formula>
    </cfRule>
    <cfRule type="cellIs" dxfId="12073" priority="17384" operator="greaterThan">
      <formula>0.751</formula>
    </cfRule>
    <cfRule type="cellIs" dxfId="12072" priority="17385" operator="between">
      <formula>0.71251</formula>
      <formula>0.75</formula>
    </cfRule>
    <cfRule type="cellIs" dxfId="12071" priority="17386" stopIfTrue="1" operator="between">
      <formula>0</formula>
      <formula>0.375</formula>
    </cfRule>
  </conditionalFormatting>
  <conditionalFormatting sqref="AB136">
    <cfRule type="cellIs" dxfId="12070" priority="17377" operator="between">
      <formula>0.56251</formula>
      <formula>0.7125</formula>
    </cfRule>
    <cfRule type="cellIs" dxfId="12069" priority="17378" operator="between">
      <formula>0.3751</formula>
      <formula>0.5625</formula>
    </cfRule>
    <cfRule type="cellIs" dxfId="12068" priority="17379" operator="greaterThan">
      <formula>0.751</formula>
    </cfRule>
    <cfRule type="cellIs" dxfId="12067" priority="17380" operator="between">
      <formula>0.71251</formula>
      <formula>0.75</formula>
    </cfRule>
    <cfRule type="cellIs" dxfId="12066" priority="17381" stopIfTrue="1" operator="between">
      <formula>0</formula>
      <formula>0.375</formula>
    </cfRule>
  </conditionalFormatting>
  <conditionalFormatting sqref="S137:S140 Z137:Z140 AG137:AG140 AI137:AI140">
    <cfRule type="cellIs" dxfId="12065" priority="17360" operator="between">
      <formula>0.76</formula>
      <formula>0.95</formula>
    </cfRule>
    <cfRule type="cellIs" dxfId="12064" priority="17361" operator="between">
      <formula>0.51</formula>
      <formula>0.75</formula>
    </cfRule>
    <cfRule type="cellIs" dxfId="12063" priority="17362" operator="greaterThan">
      <formula>1</formula>
    </cfRule>
    <cfRule type="cellIs" dxfId="12062" priority="17363" operator="between">
      <formula>0.95</formula>
      <formula>1</formula>
    </cfRule>
    <cfRule type="cellIs" dxfId="12061" priority="17364" stopIfTrue="1" operator="between">
      <formula>0</formula>
      <formula>0.5</formula>
    </cfRule>
  </conditionalFormatting>
  <conditionalFormatting sqref="R137:R140">
    <cfRule type="cellIs" dxfId="12060" priority="17350" operator="between">
      <formula>0.76</formula>
      <formula>0.95</formula>
    </cfRule>
    <cfRule type="cellIs" dxfId="12059" priority="17351" operator="between">
      <formula>0.51</formula>
      <formula>0.75</formula>
    </cfRule>
    <cfRule type="cellIs" dxfId="12058" priority="17352" operator="greaterThan">
      <formula>1</formula>
    </cfRule>
    <cfRule type="cellIs" dxfId="12057" priority="17353" operator="between">
      <formula>0.95</formula>
      <formula>1</formula>
    </cfRule>
    <cfRule type="cellIs" dxfId="12056" priority="17354" stopIfTrue="1" operator="between">
      <formula>0</formula>
      <formula>0.5</formula>
    </cfRule>
  </conditionalFormatting>
  <conditionalFormatting sqref="Y137:Y140">
    <cfRule type="cellIs" dxfId="12055" priority="17345" operator="between">
      <formula>0.76</formula>
      <formula>0.95</formula>
    </cfRule>
    <cfRule type="cellIs" dxfId="12054" priority="17346" operator="between">
      <formula>0.51</formula>
      <formula>0.75</formula>
    </cfRule>
    <cfRule type="cellIs" dxfId="12053" priority="17347" operator="greaterThan">
      <formula>1</formula>
    </cfRule>
    <cfRule type="cellIs" dxfId="12052" priority="17348" operator="between">
      <formula>0.95</formula>
      <formula>1</formula>
    </cfRule>
    <cfRule type="cellIs" dxfId="12051" priority="17349" stopIfTrue="1" operator="between">
      <formula>0</formula>
      <formula>0.5</formula>
    </cfRule>
  </conditionalFormatting>
  <conditionalFormatting sqref="AF137:AF140">
    <cfRule type="cellIs" dxfId="12050" priority="17340" operator="between">
      <formula>0.76</formula>
      <formula>0.95</formula>
    </cfRule>
    <cfRule type="cellIs" dxfId="12049" priority="17341" operator="between">
      <formula>0.51</formula>
      <formula>0.75</formula>
    </cfRule>
    <cfRule type="cellIs" dxfId="12048" priority="17342" operator="greaterThan">
      <formula>1</formula>
    </cfRule>
    <cfRule type="cellIs" dxfId="12047" priority="17343" operator="between">
      <formula>0.95</formula>
      <formula>1</formula>
    </cfRule>
    <cfRule type="cellIs" dxfId="12046" priority="17344" stopIfTrue="1" operator="between">
      <formula>0</formula>
      <formula>0.5</formula>
    </cfRule>
  </conditionalFormatting>
  <conditionalFormatting sqref="AH137:AH140">
    <cfRule type="cellIs" dxfId="12045" priority="17335" operator="between">
      <formula>0.76</formula>
      <formula>0.95</formula>
    </cfRule>
    <cfRule type="cellIs" dxfId="12044" priority="17336" operator="between">
      <formula>0.51</formula>
      <formula>0.75</formula>
    </cfRule>
    <cfRule type="cellIs" dxfId="12043" priority="17337" operator="greaterThan">
      <formula>1</formula>
    </cfRule>
    <cfRule type="cellIs" dxfId="12042" priority="17338" operator="between">
      <formula>0.95</formula>
      <formula>1</formula>
    </cfRule>
    <cfRule type="cellIs" dxfId="12041" priority="17339" stopIfTrue="1" operator="between">
      <formula>0</formula>
      <formula>0.5</formula>
    </cfRule>
  </conditionalFormatting>
  <conditionalFormatting sqref="T137:T140">
    <cfRule type="cellIs" dxfId="12040" priority="17320" operator="between">
      <formula>0.3751</formula>
      <formula>0.475</formula>
    </cfRule>
    <cfRule type="cellIs" dxfId="12039" priority="17321" operator="between">
      <formula>0.2551</formula>
      <formula>0.375</formula>
    </cfRule>
    <cfRule type="cellIs" dxfId="12038" priority="17322" operator="greaterThan">
      <formula>0.505</formula>
    </cfRule>
    <cfRule type="cellIs" dxfId="12037" priority="17323" operator="between">
      <formula>0.48</formula>
      <formula>0.5</formula>
    </cfRule>
    <cfRule type="cellIs" dxfId="12036" priority="17324" stopIfTrue="1" operator="between">
      <formula>0</formula>
      <formula>0.255</formula>
    </cfRule>
  </conditionalFormatting>
  <conditionalFormatting sqref="U137:V140">
    <cfRule type="cellIs" dxfId="12035" priority="17315" operator="between">
      <formula>0.376</formula>
      <formula>0.475</formula>
    </cfRule>
    <cfRule type="cellIs" dxfId="12034" priority="17316" operator="between">
      <formula>0.2551</formula>
      <formula>0.3751</formula>
    </cfRule>
    <cfRule type="cellIs" dxfId="12033" priority="17317" operator="greaterThan">
      <formula>0.505</formula>
    </cfRule>
    <cfRule type="cellIs" dxfId="12032" priority="17318" operator="between">
      <formula>0.48</formula>
      <formula>0.5</formula>
    </cfRule>
    <cfRule type="cellIs" dxfId="12031" priority="17319" stopIfTrue="1" operator="between">
      <formula>0</formula>
      <formula>0.255</formula>
    </cfRule>
  </conditionalFormatting>
  <conditionalFormatting sqref="AA137:AA140">
    <cfRule type="cellIs" dxfId="12030" priority="17310" operator="between">
      <formula>0.56251</formula>
      <formula>0.7125</formula>
    </cfRule>
    <cfRule type="cellIs" dxfId="12029" priority="17311" operator="between">
      <formula>0.3751</formula>
      <formula>0.5625</formula>
    </cfRule>
    <cfRule type="cellIs" dxfId="12028" priority="17312" operator="greaterThan">
      <formula>0.751</formula>
    </cfRule>
    <cfRule type="cellIs" dxfId="12027" priority="17313" operator="between">
      <formula>0.71251</formula>
      <formula>0.75</formula>
    </cfRule>
    <cfRule type="cellIs" dxfId="12026" priority="17314" stopIfTrue="1" operator="between">
      <formula>0</formula>
      <formula>0.375</formula>
    </cfRule>
  </conditionalFormatting>
  <conditionalFormatting sqref="AC137:AC140">
    <cfRule type="cellIs" dxfId="12025" priority="17305" operator="between">
      <formula>0.56251</formula>
      <formula>0.7125</formula>
    </cfRule>
    <cfRule type="cellIs" dxfId="12024" priority="17306" operator="between">
      <formula>0.3751</formula>
      <formula>0.5625</formula>
    </cfRule>
    <cfRule type="cellIs" dxfId="12023" priority="17307" operator="greaterThan">
      <formula>0.751</formula>
    </cfRule>
    <cfRule type="cellIs" dxfId="12022" priority="17308" operator="between">
      <formula>0.71251</formula>
      <formula>0.75</formula>
    </cfRule>
    <cfRule type="cellIs" dxfId="12021" priority="17309" stopIfTrue="1" operator="between">
      <formula>0</formula>
      <formula>0.375</formula>
    </cfRule>
  </conditionalFormatting>
  <conditionalFormatting sqref="AB137:AB140">
    <cfRule type="cellIs" dxfId="12020" priority="17300" operator="between">
      <formula>0.56251</formula>
      <formula>0.7125</formula>
    </cfRule>
    <cfRule type="cellIs" dxfId="12019" priority="17301" operator="between">
      <formula>0.3751</formula>
      <formula>0.5625</formula>
    </cfRule>
    <cfRule type="cellIs" dxfId="12018" priority="17302" operator="greaterThan">
      <formula>0.751</formula>
    </cfRule>
    <cfRule type="cellIs" dxfId="12017" priority="17303" operator="between">
      <formula>0.71251</formula>
      <formula>0.75</formula>
    </cfRule>
    <cfRule type="cellIs" dxfId="12016" priority="17304" stopIfTrue="1" operator="between">
      <formula>0</formula>
      <formula>0.375</formula>
    </cfRule>
  </conditionalFormatting>
  <conditionalFormatting sqref="AG18 AI18 Z18">
    <cfRule type="cellIs" dxfId="12015" priority="17283" operator="between">
      <formula>0.76</formula>
      <formula>0.95</formula>
    </cfRule>
    <cfRule type="cellIs" dxfId="12014" priority="17284" operator="between">
      <formula>0.51</formula>
      <formula>0.75</formula>
    </cfRule>
    <cfRule type="cellIs" dxfId="12013" priority="17285" operator="greaterThan">
      <formula>1</formula>
    </cfRule>
    <cfRule type="cellIs" dxfId="12012" priority="17286" operator="between">
      <formula>0.95</formula>
      <formula>1</formula>
    </cfRule>
    <cfRule type="cellIs" dxfId="12011" priority="17287" stopIfTrue="1" operator="between">
      <formula>0</formula>
      <formula>0.5</formula>
    </cfRule>
  </conditionalFormatting>
  <conditionalFormatting sqref="R18:S18">
    <cfRule type="cellIs" dxfId="12010" priority="17278" operator="between">
      <formula>0.76</formula>
      <formula>0.95</formula>
    </cfRule>
    <cfRule type="cellIs" dxfId="12009" priority="17279" operator="between">
      <formula>0.51</formula>
      <formula>0.75</formula>
    </cfRule>
    <cfRule type="cellIs" dxfId="12008" priority="17280" operator="greaterThan">
      <formula>1</formula>
    </cfRule>
    <cfRule type="cellIs" dxfId="12007" priority="17281" operator="between">
      <formula>0.95</formula>
      <formula>1</formula>
    </cfRule>
    <cfRule type="cellIs" dxfId="12006" priority="17282" stopIfTrue="1" operator="between">
      <formula>0</formula>
      <formula>0.5</formula>
    </cfRule>
  </conditionalFormatting>
  <conditionalFormatting sqref="Y18">
    <cfRule type="cellIs" dxfId="12005" priority="17273" operator="between">
      <formula>0.76</formula>
      <formula>0.95</formula>
    </cfRule>
    <cfRule type="cellIs" dxfId="12004" priority="17274" operator="between">
      <formula>0.51</formula>
      <formula>0.75</formula>
    </cfRule>
    <cfRule type="cellIs" dxfId="12003" priority="17275" operator="greaterThan">
      <formula>1</formula>
    </cfRule>
    <cfRule type="cellIs" dxfId="12002" priority="17276" operator="between">
      <formula>0.95</formula>
      <formula>1</formula>
    </cfRule>
    <cfRule type="cellIs" dxfId="12001" priority="17277" stopIfTrue="1" operator="between">
      <formula>0</formula>
      <formula>0.5</formula>
    </cfRule>
  </conditionalFormatting>
  <conditionalFormatting sqref="AF18">
    <cfRule type="cellIs" dxfId="12000" priority="17268" operator="between">
      <formula>0.76</formula>
      <formula>0.95</formula>
    </cfRule>
    <cfRule type="cellIs" dxfId="11999" priority="17269" operator="between">
      <formula>0.51</formula>
      <formula>0.75</formula>
    </cfRule>
    <cfRule type="cellIs" dxfId="11998" priority="17270" operator="greaterThan">
      <formula>1</formula>
    </cfRule>
    <cfRule type="cellIs" dxfId="11997" priority="17271" operator="between">
      <formula>0.95</formula>
      <formula>1</formula>
    </cfRule>
    <cfRule type="cellIs" dxfId="11996" priority="17272" stopIfTrue="1" operator="between">
      <formula>0</formula>
      <formula>0.5</formula>
    </cfRule>
  </conditionalFormatting>
  <conditionalFormatting sqref="T18">
    <cfRule type="cellIs" dxfId="11995" priority="17263" operator="between">
      <formula>0.3751</formula>
      <formula>0.475</formula>
    </cfRule>
    <cfRule type="cellIs" dxfId="11994" priority="17264" operator="between">
      <formula>0.2551</formula>
      <formula>0.375</formula>
    </cfRule>
    <cfRule type="cellIs" dxfId="11993" priority="17265" operator="greaterThan">
      <formula>0.505</formula>
    </cfRule>
    <cfRule type="cellIs" dxfId="11992" priority="17266" operator="between">
      <formula>0.48</formula>
      <formula>0.5</formula>
    </cfRule>
    <cfRule type="cellIs" dxfId="11991" priority="17267" stopIfTrue="1" operator="between">
      <formula>0</formula>
      <formula>0.255</formula>
    </cfRule>
  </conditionalFormatting>
  <conditionalFormatting sqref="AA18:AC18">
    <cfRule type="cellIs" dxfId="11990" priority="17258" operator="between">
      <formula>0.56251</formula>
      <formula>0.7125</formula>
    </cfRule>
    <cfRule type="cellIs" dxfId="11989" priority="17259" operator="between">
      <formula>0.3751</formula>
      <formula>0.5625</formula>
    </cfRule>
    <cfRule type="cellIs" dxfId="11988" priority="17260" operator="greaterThan">
      <formula>0.751</formula>
    </cfRule>
    <cfRule type="cellIs" dxfId="11987" priority="17261" operator="between">
      <formula>0.71251</formula>
      <formula>0.75</formula>
    </cfRule>
    <cfRule type="cellIs" dxfId="11986" priority="17262" stopIfTrue="1" operator="between">
      <formula>0</formula>
      <formula>0.375</formula>
    </cfRule>
  </conditionalFormatting>
  <conditionalFormatting sqref="AH18">
    <cfRule type="cellIs" dxfId="11985" priority="17253" operator="between">
      <formula>0.76</formula>
      <formula>0.95</formula>
    </cfRule>
    <cfRule type="cellIs" dxfId="11984" priority="17254" operator="between">
      <formula>0.51</formula>
      <formula>0.75</formula>
    </cfRule>
    <cfRule type="cellIs" dxfId="11983" priority="17255" operator="greaterThan">
      <formula>1</formula>
    </cfRule>
    <cfRule type="cellIs" dxfId="11982" priority="17256" operator="between">
      <formula>0.95</formula>
      <formula>1</formula>
    </cfRule>
    <cfRule type="cellIs" dxfId="11981" priority="17257" stopIfTrue="1" operator="between">
      <formula>0</formula>
      <formula>0.5</formula>
    </cfRule>
  </conditionalFormatting>
  <conditionalFormatting sqref="U18:V18">
    <cfRule type="cellIs" dxfId="11980" priority="17243" operator="between">
      <formula>0.376</formula>
      <formula>0.475</formula>
    </cfRule>
    <cfRule type="cellIs" dxfId="11979" priority="17244" operator="between">
      <formula>0.2551</formula>
      <formula>0.3751</formula>
    </cfRule>
    <cfRule type="cellIs" dxfId="11978" priority="17245" operator="greaterThan">
      <formula>0.505</formula>
    </cfRule>
    <cfRule type="cellIs" dxfId="11977" priority="17246" operator="between">
      <formula>0.48</formula>
      <formula>0.5</formula>
    </cfRule>
    <cfRule type="cellIs" dxfId="11976" priority="17247" stopIfTrue="1" operator="between">
      <formula>0</formula>
      <formula>0.255</formula>
    </cfRule>
  </conditionalFormatting>
  <conditionalFormatting sqref="AG22 AI22 Z22">
    <cfRule type="cellIs" dxfId="11975" priority="17211" operator="between">
      <formula>0.76</formula>
      <formula>0.95</formula>
    </cfRule>
    <cfRule type="cellIs" dxfId="11974" priority="17212" operator="between">
      <formula>0.51</formula>
      <formula>0.75</formula>
    </cfRule>
    <cfRule type="cellIs" dxfId="11973" priority="17213" operator="greaterThan">
      <formula>1</formula>
    </cfRule>
    <cfRule type="cellIs" dxfId="11972" priority="17214" operator="between">
      <formula>0.95</formula>
      <formula>1</formula>
    </cfRule>
    <cfRule type="cellIs" dxfId="11971" priority="17215" stopIfTrue="1" operator="between">
      <formula>0</formula>
      <formula>0.5</formula>
    </cfRule>
  </conditionalFormatting>
  <conditionalFormatting sqref="R22:S22">
    <cfRule type="cellIs" dxfId="11970" priority="17206" operator="between">
      <formula>0.76</formula>
      <formula>0.95</formula>
    </cfRule>
    <cfRule type="cellIs" dxfId="11969" priority="17207" operator="between">
      <formula>0.51</formula>
      <formula>0.75</formula>
    </cfRule>
    <cfRule type="cellIs" dxfId="11968" priority="17208" operator="greaterThan">
      <formula>1</formula>
    </cfRule>
    <cfRule type="cellIs" dxfId="11967" priority="17209" operator="between">
      <formula>0.95</formula>
      <formula>1</formula>
    </cfRule>
    <cfRule type="cellIs" dxfId="11966" priority="17210" stopIfTrue="1" operator="between">
      <formula>0</formula>
      <formula>0.5</formula>
    </cfRule>
  </conditionalFormatting>
  <conditionalFormatting sqref="Y22">
    <cfRule type="cellIs" dxfId="11965" priority="17201" operator="between">
      <formula>0.76</formula>
      <formula>0.95</formula>
    </cfRule>
    <cfRule type="cellIs" dxfId="11964" priority="17202" operator="between">
      <formula>0.51</formula>
      <formula>0.75</formula>
    </cfRule>
    <cfRule type="cellIs" dxfId="11963" priority="17203" operator="greaterThan">
      <formula>1</formula>
    </cfRule>
    <cfRule type="cellIs" dxfId="11962" priority="17204" operator="between">
      <formula>0.95</formula>
      <formula>1</formula>
    </cfRule>
    <cfRule type="cellIs" dxfId="11961" priority="17205" stopIfTrue="1" operator="between">
      <formula>0</formula>
      <formula>0.5</formula>
    </cfRule>
  </conditionalFormatting>
  <conditionalFormatting sqref="AF22">
    <cfRule type="cellIs" dxfId="11960" priority="17196" operator="between">
      <formula>0.76</formula>
      <formula>0.95</formula>
    </cfRule>
    <cfRule type="cellIs" dxfId="11959" priority="17197" operator="between">
      <formula>0.51</formula>
      <formula>0.75</formula>
    </cfRule>
    <cfRule type="cellIs" dxfId="11958" priority="17198" operator="greaterThan">
      <formula>1</formula>
    </cfRule>
    <cfRule type="cellIs" dxfId="11957" priority="17199" operator="between">
      <formula>0.95</formula>
      <formula>1</formula>
    </cfRule>
    <cfRule type="cellIs" dxfId="11956" priority="17200" stopIfTrue="1" operator="between">
      <formula>0</formula>
      <formula>0.5</formula>
    </cfRule>
  </conditionalFormatting>
  <conditionalFormatting sqref="T22">
    <cfRule type="cellIs" dxfId="11955" priority="17191" operator="between">
      <formula>0.3751</formula>
      <formula>0.475</formula>
    </cfRule>
    <cfRule type="cellIs" dxfId="11954" priority="17192" operator="between">
      <formula>0.2551</formula>
      <formula>0.375</formula>
    </cfRule>
    <cfRule type="cellIs" dxfId="11953" priority="17193" operator="greaterThan">
      <formula>0.505</formula>
    </cfRule>
    <cfRule type="cellIs" dxfId="11952" priority="17194" operator="between">
      <formula>0.48</formula>
      <formula>0.5</formula>
    </cfRule>
    <cfRule type="cellIs" dxfId="11951" priority="17195" stopIfTrue="1" operator="between">
      <formula>0</formula>
      <formula>0.255</formula>
    </cfRule>
  </conditionalFormatting>
  <conditionalFormatting sqref="AA22:AC22">
    <cfRule type="cellIs" dxfId="11950" priority="17186" operator="between">
      <formula>0.56251</formula>
      <formula>0.7125</formula>
    </cfRule>
    <cfRule type="cellIs" dxfId="11949" priority="17187" operator="between">
      <formula>0.3751</formula>
      <formula>0.5625</formula>
    </cfRule>
    <cfRule type="cellIs" dxfId="11948" priority="17188" operator="greaterThan">
      <formula>0.751</formula>
    </cfRule>
    <cfRule type="cellIs" dxfId="11947" priority="17189" operator="between">
      <formula>0.71251</formula>
      <formula>0.75</formula>
    </cfRule>
    <cfRule type="cellIs" dxfId="11946" priority="17190" stopIfTrue="1" operator="between">
      <formula>0</formula>
      <formula>0.375</formula>
    </cfRule>
  </conditionalFormatting>
  <conditionalFormatting sqref="AH22">
    <cfRule type="cellIs" dxfId="11945" priority="17181" operator="between">
      <formula>0.76</formula>
      <formula>0.95</formula>
    </cfRule>
    <cfRule type="cellIs" dxfId="11944" priority="17182" operator="between">
      <formula>0.51</formula>
      <formula>0.75</formula>
    </cfRule>
    <cfRule type="cellIs" dxfId="11943" priority="17183" operator="greaterThan">
      <formula>1</formula>
    </cfRule>
    <cfRule type="cellIs" dxfId="11942" priority="17184" operator="between">
      <formula>0.95</formula>
      <formula>1</formula>
    </cfRule>
    <cfRule type="cellIs" dxfId="11941" priority="17185" stopIfTrue="1" operator="between">
      <formula>0</formula>
      <formula>0.5</formula>
    </cfRule>
  </conditionalFormatting>
  <conditionalFormatting sqref="U22:V22">
    <cfRule type="cellIs" dxfId="11940" priority="17171" operator="between">
      <formula>0.376</formula>
      <formula>0.475</formula>
    </cfRule>
    <cfRule type="cellIs" dxfId="11939" priority="17172" operator="between">
      <formula>0.2551</formula>
      <formula>0.3751</formula>
    </cfRule>
    <cfRule type="cellIs" dxfId="11938" priority="17173" operator="greaterThan">
      <formula>0.505</formula>
    </cfRule>
    <cfRule type="cellIs" dxfId="11937" priority="17174" operator="between">
      <formula>0.48</formula>
      <formula>0.5</formula>
    </cfRule>
    <cfRule type="cellIs" dxfId="11936" priority="17175" stopIfTrue="1" operator="between">
      <formula>0</formula>
      <formula>0.255</formula>
    </cfRule>
  </conditionalFormatting>
  <conditionalFormatting sqref="AG141:AG142 AI141:AI142 S141:S142 Z141:Z142 S144 Z144 AG144 AI144">
    <cfRule type="cellIs" dxfId="11935" priority="17139" operator="between">
      <formula>0.76</formula>
      <formula>0.95</formula>
    </cfRule>
    <cfRule type="cellIs" dxfId="11934" priority="17140" operator="between">
      <formula>0.51</formula>
      <formula>0.75</formula>
    </cfRule>
    <cfRule type="cellIs" dxfId="11933" priority="17141" operator="greaterThan">
      <formula>1</formula>
    </cfRule>
    <cfRule type="cellIs" dxfId="11932" priority="17142" operator="between">
      <formula>0.95</formula>
      <formula>1</formula>
    </cfRule>
    <cfRule type="cellIs" dxfId="11931" priority="17143" stopIfTrue="1" operator="between">
      <formula>0</formula>
      <formula>0.5</formula>
    </cfRule>
  </conditionalFormatting>
  <conditionalFormatting sqref="R141:R142 R144">
    <cfRule type="cellIs" dxfId="11930" priority="17129" operator="between">
      <formula>0.76</formula>
      <formula>0.95</formula>
    </cfRule>
    <cfRule type="cellIs" dxfId="11929" priority="17130" operator="between">
      <formula>0.51</formula>
      <formula>0.75</formula>
    </cfRule>
    <cfRule type="cellIs" dxfId="11928" priority="17131" operator="greaterThan">
      <formula>1</formula>
    </cfRule>
    <cfRule type="cellIs" dxfId="11927" priority="17132" operator="between">
      <formula>0.95</formula>
      <formula>1</formula>
    </cfRule>
    <cfRule type="cellIs" dxfId="11926" priority="17133" stopIfTrue="1" operator="between">
      <formula>0</formula>
      <formula>0.5</formula>
    </cfRule>
  </conditionalFormatting>
  <conditionalFormatting sqref="Y141:Y142 Y144">
    <cfRule type="cellIs" dxfId="11925" priority="17124" operator="between">
      <formula>0.76</formula>
      <formula>0.95</formula>
    </cfRule>
    <cfRule type="cellIs" dxfId="11924" priority="17125" operator="between">
      <formula>0.51</formula>
      <formula>0.75</formula>
    </cfRule>
    <cfRule type="cellIs" dxfId="11923" priority="17126" operator="greaterThan">
      <formula>1</formula>
    </cfRule>
    <cfRule type="cellIs" dxfId="11922" priority="17127" operator="between">
      <formula>0.95</formula>
      <formula>1</formula>
    </cfRule>
    <cfRule type="cellIs" dxfId="11921" priority="17128" stopIfTrue="1" operator="between">
      <formula>0</formula>
      <formula>0.5</formula>
    </cfRule>
  </conditionalFormatting>
  <conditionalFormatting sqref="AF141:AF142 AF144">
    <cfRule type="cellIs" dxfId="11920" priority="17119" operator="between">
      <formula>0.76</formula>
      <formula>0.95</formula>
    </cfRule>
    <cfRule type="cellIs" dxfId="11919" priority="17120" operator="between">
      <formula>0.51</formula>
      <formula>0.75</formula>
    </cfRule>
    <cfRule type="cellIs" dxfId="11918" priority="17121" operator="greaterThan">
      <formula>1</formula>
    </cfRule>
    <cfRule type="cellIs" dxfId="11917" priority="17122" operator="between">
      <formula>0.95</formula>
      <formula>1</formula>
    </cfRule>
    <cfRule type="cellIs" dxfId="11916" priority="17123" stopIfTrue="1" operator="between">
      <formula>0</formula>
      <formula>0.5</formula>
    </cfRule>
  </conditionalFormatting>
  <conditionalFormatting sqref="AH141:AH142 AH144">
    <cfRule type="cellIs" dxfId="11915" priority="17114" operator="between">
      <formula>0.76</formula>
      <formula>0.95</formula>
    </cfRule>
    <cfRule type="cellIs" dxfId="11914" priority="17115" operator="between">
      <formula>0.51</formula>
      <formula>0.75</formula>
    </cfRule>
    <cfRule type="cellIs" dxfId="11913" priority="17116" operator="greaterThan">
      <formula>1</formula>
    </cfRule>
    <cfRule type="cellIs" dxfId="11912" priority="17117" operator="between">
      <formula>0.95</formula>
      <formula>1</formula>
    </cfRule>
    <cfRule type="cellIs" dxfId="11911" priority="17118" stopIfTrue="1" operator="between">
      <formula>0</formula>
      <formula>0.5</formula>
    </cfRule>
  </conditionalFormatting>
  <conditionalFormatting sqref="T141:T142 T144">
    <cfRule type="cellIs" dxfId="11910" priority="17099" operator="between">
      <formula>0.3751</formula>
      <formula>0.475</formula>
    </cfRule>
    <cfRule type="cellIs" dxfId="11909" priority="17100" operator="between">
      <formula>0.2551</formula>
      <formula>0.375</formula>
    </cfRule>
    <cfRule type="cellIs" dxfId="11908" priority="17101" operator="greaterThan">
      <formula>0.505</formula>
    </cfRule>
    <cfRule type="cellIs" dxfId="11907" priority="17102" operator="between">
      <formula>0.48</formula>
      <formula>0.5</formula>
    </cfRule>
    <cfRule type="cellIs" dxfId="11906" priority="17103" stopIfTrue="1" operator="between">
      <formula>0</formula>
      <formula>0.255</formula>
    </cfRule>
  </conditionalFormatting>
  <conditionalFormatting sqref="U141:V142 U144:V144">
    <cfRule type="cellIs" dxfId="11905" priority="17094" operator="between">
      <formula>0.376</formula>
      <formula>0.475</formula>
    </cfRule>
    <cfRule type="cellIs" dxfId="11904" priority="17095" operator="between">
      <formula>0.2551</formula>
      <formula>0.3751</formula>
    </cfRule>
    <cfRule type="cellIs" dxfId="11903" priority="17096" operator="greaterThan">
      <formula>0.505</formula>
    </cfRule>
    <cfRule type="cellIs" dxfId="11902" priority="17097" operator="between">
      <formula>0.48</formula>
      <formula>0.5</formula>
    </cfRule>
    <cfRule type="cellIs" dxfId="11901" priority="17098" stopIfTrue="1" operator="between">
      <formula>0</formula>
      <formula>0.255</formula>
    </cfRule>
  </conditionalFormatting>
  <conditionalFormatting sqref="AA141:AA142 AA144">
    <cfRule type="cellIs" dxfId="11900" priority="17089" operator="between">
      <formula>0.56251</formula>
      <formula>0.7125</formula>
    </cfRule>
    <cfRule type="cellIs" dxfId="11899" priority="17090" operator="between">
      <formula>0.3751</formula>
      <formula>0.5625</formula>
    </cfRule>
    <cfRule type="cellIs" dxfId="11898" priority="17091" operator="greaterThan">
      <formula>0.751</formula>
    </cfRule>
    <cfRule type="cellIs" dxfId="11897" priority="17092" operator="between">
      <formula>0.71251</formula>
      <formula>0.75</formula>
    </cfRule>
    <cfRule type="cellIs" dxfId="11896" priority="17093" stopIfTrue="1" operator="between">
      <formula>0</formula>
      <formula>0.375</formula>
    </cfRule>
  </conditionalFormatting>
  <conditionalFormatting sqref="AC141:AC142 AC144">
    <cfRule type="cellIs" dxfId="11895" priority="17084" operator="between">
      <formula>0.56251</formula>
      <formula>0.7125</formula>
    </cfRule>
    <cfRule type="cellIs" dxfId="11894" priority="17085" operator="between">
      <formula>0.3751</formula>
      <formula>0.5625</formula>
    </cfRule>
    <cfRule type="cellIs" dxfId="11893" priority="17086" operator="greaterThan">
      <formula>0.751</formula>
    </cfRule>
    <cfRule type="cellIs" dxfId="11892" priority="17087" operator="between">
      <formula>0.71251</formula>
      <formula>0.75</formula>
    </cfRule>
    <cfRule type="cellIs" dxfId="11891" priority="17088" stopIfTrue="1" operator="between">
      <formula>0</formula>
      <formula>0.375</formula>
    </cfRule>
  </conditionalFormatting>
  <conditionalFormatting sqref="AB141:AB142 AB144">
    <cfRule type="cellIs" dxfId="11890" priority="17079" operator="between">
      <formula>0.56251</formula>
      <formula>0.7125</formula>
    </cfRule>
    <cfRule type="cellIs" dxfId="11889" priority="17080" operator="between">
      <formula>0.3751</formula>
      <formula>0.5625</formula>
    </cfRule>
    <cfRule type="cellIs" dxfId="11888" priority="17081" operator="greaterThan">
      <formula>0.751</formula>
    </cfRule>
    <cfRule type="cellIs" dxfId="11887" priority="17082" operator="between">
      <formula>0.71251</formula>
      <formula>0.75</formula>
    </cfRule>
    <cfRule type="cellIs" dxfId="11886" priority="17083" stopIfTrue="1" operator="between">
      <formula>0</formula>
      <formula>0.375</formula>
    </cfRule>
  </conditionalFormatting>
  <conditionalFormatting sqref="S206">
    <cfRule type="cellIs" dxfId="11885" priority="17052" operator="between">
      <formula>0.76</formula>
      <formula>0.95</formula>
    </cfRule>
    <cfRule type="cellIs" dxfId="11884" priority="17053" operator="between">
      <formula>0.51</formula>
      <formula>0.75</formula>
    </cfRule>
    <cfRule type="cellIs" dxfId="11883" priority="17054" operator="greaterThan">
      <formula>1</formula>
    </cfRule>
    <cfRule type="cellIs" dxfId="11882" priority="17055" operator="between">
      <formula>0.95</formula>
      <formula>1</formula>
    </cfRule>
    <cfRule type="cellIs" dxfId="11881" priority="17056" stopIfTrue="1" operator="between">
      <formula>0</formula>
      <formula>0.5</formula>
    </cfRule>
  </conditionalFormatting>
  <conditionalFormatting sqref="R206">
    <cfRule type="cellIs" dxfId="11880" priority="17047" operator="between">
      <formula>0.76</formula>
      <formula>0.95</formula>
    </cfRule>
    <cfRule type="cellIs" dxfId="11879" priority="17048" operator="between">
      <formula>0.51</formula>
      <formula>0.75</formula>
    </cfRule>
    <cfRule type="cellIs" dxfId="11878" priority="17049" operator="greaterThan">
      <formula>1</formula>
    </cfRule>
    <cfRule type="cellIs" dxfId="11877" priority="17050" operator="between">
      <formula>0.95</formula>
      <formula>1</formula>
    </cfRule>
    <cfRule type="cellIs" dxfId="11876" priority="17051" stopIfTrue="1" operator="between">
      <formula>0</formula>
      <formula>0.5</formula>
    </cfRule>
  </conditionalFormatting>
  <conditionalFormatting sqref="Y206">
    <cfRule type="cellIs" dxfId="11875" priority="17042" operator="between">
      <formula>0.76</formula>
      <formula>0.95</formula>
    </cfRule>
    <cfRule type="cellIs" dxfId="11874" priority="17043" operator="between">
      <formula>0.51</formula>
      <formula>0.75</formula>
    </cfRule>
    <cfRule type="cellIs" dxfId="11873" priority="17044" operator="greaterThan">
      <formula>1</formula>
    </cfRule>
    <cfRule type="cellIs" dxfId="11872" priority="17045" operator="between">
      <formula>0.95</formula>
      <formula>1</formula>
    </cfRule>
    <cfRule type="cellIs" dxfId="11871" priority="17046" stopIfTrue="1" operator="between">
      <formula>0</formula>
      <formula>0.5</formula>
    </cfRule>
  </conditionalFormatting>
  <conditionalFormatting sqref="AF206">
    <cfRule type="cellIs" dxfId="11870" priority="17037" operator="between">
      <formula>0.76</formula>
      <formula>0.95</formula>
    </cfRule>
    <cfRule type="cellIs" dxfId="11869" priority="17038" operator="between">
      <formula>0.51</formula>
      <formula>0.75</formula>
    </cfRule>
    <cfRule type="cellIs" dxfId="11868" priority="17039" operator="greaterThan">
      <formula>1</formula>
    </cfRule>
    <cfRule type="cellIs" dxfId="11867" priority="17040" operator="between">
      <formula>0.95</formula>
      <formula>1</formula>
    </cfRule>
    <cfRule type="cellIs" dxfId="11866" priority="17041" stopIfTrue="1" operator="between">
      <formula>0</formula>
      <formula>0.5</formula>
    </cfRule>
  </conditionalFormatting>
  <conditionalFormatting sqref="AH206">
    <cfRule type="cellIs" dxfId="11865" priority="17032" operator="between">
      <formula>0.76</formula>
      <formula>0.95</formula>
    </cfRule>
    <cfRule type="cellIs" dxfId="11864" priority="17033" operator="between">
      <formula>0.51</formula>
      <formula>0.75</formula>
    </cfRule>
    <cfRule type="cellIs" dxfId="11863" priority="17034" operator="greaterThan">
      <formula>1</formula>
    </cfRule>
    <cfRule type="cellIs" dxfId="11862" priority="17035" operator="between">
      <formula>0.95</formula>
      <formula>1</formula>
    </cfRule>
    <cfRule type="cellIs" dxfId="11861" priority="17036" stopIfTrue="1" operator="between">
      <formula>0</formula>
      <formula>0.5</formula>
    </cfRule>
  </conditionalFormatting>
  <conditionalFormatting sqref="T206">
    <cfRule type="cellIs" dxfId="11860" priority="17017" operator="between">
      <formula>0.3751</formula>
      <formula>0.475</formula>
    </cfRule>
    <cfRule type="cellIs" dxfId="11859" priority="17018" operator="between">
      <formula>0.2551</formula>
      <formula>0.375</formula>
    </cfRule>
    <cfRule type="cellIs" dxfId="11858" priority="17019" operator="greaterThan">
      <formula>0.505</formula>
    </cfRule>
    <cfRule type="cellIs" dxfId="11857" priority="17020" operator="between">
      <formula>0.48</formula>
      <formula>0.5</formula>
    </cfRule>
    <cfRule type="cellIs" dxfId="11856" priority="17021" stopIfTrue="1" operator="between">
      <formula>0</formula>
      <formula>0.255</formula>
    </cfRule>
  </conditionalFormatting>
  <conditionalFormatting sqref="U206:V206">
    <cfRule type="cellIs" dxfId="11855" priority="17012" operator="between">
      <formula>0.376</formula>
      <formula>0.475</formula>
    </cfRule>
    <cfRule type="cellIs" dxfId="11854" priority="17013" operator="between">
      <formula>0.2551</formula>
      <formula>0.3751</formula>
    </cfRule>
    <cfRule type="cellIs" dxfId="11853" priority="17014" operator="greaterThan">
      <formula>0.505</formula>
    </cfRule>
    <cfRule type="cellIs" dxfId="11852" priority="17015" operator="between">
      <formula>0.48</formula>
      <formula>0.5</formula>
    </cfRule>
    <cfRule type="cellIs" dxfId="11851" priority="17016" stopIfTrue="1" operator="between">
      <formula>0</formula>
      <formula>0.255</formula>
    </cfRule>
  </conditionalFormatting>
  <conditionalFormatting sqref="Z206">
    <cfRule type="cellIs" dxfId="11850" priority="17007" operator="between">
      <formula>0.76</formula>
      <formula>0.95</formula>
    </cfRule>
    <cfRule type="cellIs" dxfId="11849" priority="17008" operator="between">
      <formula>0.51</formula>
      <formula>0.75</formula>
    </cfRule>
    <cfRule type="cellIs" dxfId="11848" priority="17009" operator="greaterThan">
      <formula>1</formula>
    </cfRule>
    <cfRule type="cellIs" dxfId="11847" priority="17010" operator="between">
      <formula>0.95</formula>
      <formula>1</formula>
    </cfRule>
    <cfRule type="cellIs" dxfId="11846" priority="17011" stopIfTrue="1" operator="between">
      <formula>0</formula>
      <formula>0.5</formula>
    </cfRule>
  </conditionalFormatting>
  <conditionalFormatting sqref="AG206">
    <cfRule type="cellIs" dxfId="11845" priority="17002" operator="between">
      <formula>0.76</formula>
      <formula>0.95</formula>
    </cfRule>
    <cfRule type="cellIs" dxfId="11844" priority="17003" operator="between">
      <formula>0.51</formula>
      <formula>0.75</formula>
    </cfRule>
    <cfRule type="cellIs" dxfId="11843" priority="17004" operator="greaterThan">
      <formula>1</formula>
    </cfRule>
    <cfRule type="cellIs" dxfId="11842" priority="17005" operator="between">
      <formula>0.95</formula>
      <formula>1</formula>
    </cfRule>
    <cfRule type="cellIs" dxfId="11841" priority="17006" stopIfTrue="1" operator="between">
      <formula>0</formula>
      <formula>0.5</formula>
    </cfRule>
  </conditionalFormatting>
  <conditionalFormatting sqref="AI206">
    <cfRule type="cellIs" dxfId="11840" priority="16997" operator="between">
      <formula>0.76</formula>
      <formula>0.95</formula>
    </cfRule>
    <cfRule type="cellIs" dxfId="11839" priority="16998" operator="between">
      <formula>0.51</formula>
      <formula>0.75</formula>
    </cfRule>
    <cfRule type="cellIs" dxfId="11838" priority="16999" operator="greaterThan">
      <formula>1</formula>
    </cfRule>
    <cfRule type="cellIs" dxfId="11837" priority="17000" operator="between">
      <formula>0.95</formula>
      <formula>1</formula>
    </cfRule>
    <cfRule type="cellIs" dxfId="11836" priority="17001" stopIfTrue="1" operator="between">
      <formula>0</formula>
      <formula>0.5</formula>
    </cfRule>
  </conditionalFormatting>
  <conditionalFormatting sqref="AA206">
    <cfRule type="cellIs" dxfId="11835" priority="16992" operator="between">
      <formula>0.56251</formula>
      <formula>0.7125</formula>
    </cfRule>
    <cfRule type="cellIs" dxfId="11834" priority="16993" operator="between">
      <formula>0.3751</formula>
      <formula>0.5625</formula>
    </cfRule>
    <cfRule type="cellIs" dxfId="11833" priority="16994" operator="greaterThan">
      <formula>0.751</formula>
    </cfRule>
    <cfRule type="cellIs" dxfId="11832" priority="16995" operator="between">
      <formula>0.71251</formula>
      <formula>0.75</formula>
    </cfRule>
    <cfRule type="cellIs" dxfId="11831" priority="16996" stopIfTrue="1" operator="between">
      <formula>0</formula>
      <formula>0.375</formula>
    </cfRule>
  </conditionalFormatting>
  <conditionalFormatting sqref="AC206">
    <cfRule type="cellIs" dxfId="11830" priority="16987" operator="between">
      <formula>0.56251</formula>
      <formula>0.7125</formula>
    </cfRule>
    <cfRule type="cellIs" dxfId="11829" priority="16988" operator="between">
      <formula>0.3751</formula>
      <formula>0.5625</formula>
    </cfRule>
    <cfRule type="cellIs" dxfId="11828" priority="16989" operator="greaterThan">
      <formula>0.751</formula>
    </cfRule>
    <cfRule type="cellIs" dxfId="11827" priority="16990" operator="between">
      <formula>0.71251</formula>
      <formula>0.75</formula>
    </cfRule>
    <cfRule type="cellIs" dxfId="11826" priority="16991" stopIfTrue="1" operator="between">
      <formula>0</formula>
      <formula>0.375</formula>
    </cfRule>
  </conditionalFormatting>
  <conditionalFormatting sqref="AB206">
    <cfRule type="cellIs" dxfId="11825" priority="16982" operator="between">
      <formula>0.56251</formula>
      <formula>0.7125</formula>
    </cfRule>
    <cfRule type="cellIs" dxfId="11824" priority="16983" operator="between">
      <formula>0.3751</formula>
      <formula>0.5625</formula>
    </cfRule>
    <cfRule type="cellIs" dxfId="11823" priority="16984" operator="greaterThan">
      <formula>0.751</formula>
    </cfRule>
    <cfRule type="cellIs" dxfId="11822" priority="16985" operator="between">
      <formula>0.71251</formula>
      <formula>0.75</formula>
    </cfRule>
    <cfRule type="cellIs" dxfId="11821" priority="16986" stopIfTrue="1" operator="between">
      <formula>0</formula>
      <formula>0.375</formula>
    </cfRule>
  </conditionalFormatting>
  <conditionalFormatting sqref="AG23 AI23 Z23">
    <cfRule type="cellIs" dxfId="11820" priority="16965" operator="between">
      <formula>0.76</formula>
      <formula>0.95</formula>
    </cfRule>
    <cfRule type="cellIs" dxfId="11819" priority="16966" operator="between">
      <formula>0.51</formula>
      <formula>0.75</formula>
    </cfRule>
    <cfRule type="cellIs" dxfId="11818" priority="16967" operator="greaterThan">
      <formula>1</formula>
    </cfRule>
    <cfRule type="cellIs" dxfId="11817" priority="16968" operator="between">
      <formula>0.95</formula>
      <formula>1</formula>
    </cfRule>
    <cfRule type="cellIs" dxfId="11816" priority="16969" stopIfTrue="1" operator="between">
      <formula>0</formula>
      <formula>0.5</formula>
    </cfRule>
  </conditionalFormatting>
  <conditionalFormatting sqref="R23:S23">
    <cfRule type="cellIs" dxfId="11815" priority="16960" operator="between">
      <formula>0.76</formula>
      <formula>0.95</formula>
    </cfRule>
    <cfRule type="cellIs" dxfId="11814" priority="16961" operator="between">
      <formula>0.51</formula>
      <formula>0.75</formula>
    </cfRule>
    <cfRule type="cellIs" dxfId="11813" priority="16962" operator="greaterThan">
      <formula>1</formula>
    </cfRule>
    <cfRule type="cellIs" dxfId="11812" priority="16963" operator="between">
      <formula>0.95</formula>
      <formula>1</formula>
    </cfRule>
    <cfRule type="cellIs" dxfId="11811" priority="16964" stopIfTrue="1" operator="between">
      <formula>0</formula>
      <formula>0.5</formula>
    </cfRule>
  </conditionalFormatting>
  <conditionalFormatting sqref="Y23">
    <cfRule type="cellIs" dxfId="11810" priority="16955" operator="between">
      <formula>0.76</formula>
      <formula>0.95</formula>
    </cfRule>
    <cfRule type="cellIs" dxfId="11809" priority="16956" operator="between">
      <formula>0.51</formula>
      <formula>0.75</formula>
    </cfRule>
    <cfRule type="cellIs" dxfId="11808" priority="16957" operator="greaterThan">
      <formula>1</formula>
    </cfRule>
    <cfRule type="cellIs" dxfId="11807" priority="16958" operator="between">
      <formula>0.95</formula>
      <formula>1</formula>
    </cfRule>
    <cfRule type="cellIs" dxfId="11806" priority="16959" stopIfTrue="1" operator="between">
      <formula>0</formula>
      <formula>0.5</formula>
    </cfRule>
  </conditionalFormatting>
  <conditionalFormatting sqref="AF23">
    <cfRule type="cellIs" dxfId="11805" priority="16950" operator="between">
      <formula>0.76</formula>
      <formula>0.95</formula>
    </cfRule>
    <cfRule type="cellIs" dxfId="11804" priority="16951" operator="between">
      <formula>0.51</formula>
      <formula>0.75</formula>
    </cfRule>
    <cfRule type="cellIs" dxfId="11803" priority="16952" operator="greaterThan">
      <formula>1</formula>
    </cfRule>
    <cfRule type="cellIs" dxfId="11802" priority="16953" operator="between">
      <formula>0.95</formula>
      <formula>1</formula>
    </cfRule>
    <cfRule type="cellIs" dxfId="11801" priority="16954" stopIfTrue="1" operator="between">
      <formula>0</formula>
      <formula>0.5</formula>
    </cfRule>
  </conditionalFormatting>
  <conditionalFormatting sqref="T23">
    <cfRule type="cellIs" dxfId="11800" priority="16945" operator="between">
      <formula>0.3751</formula>
      <formula>0.475</formula>
    </cfRule>
    <cfRule type="cellIs" dxfId="11799" priority="16946" operator="between">
      <formula>0.2551</formula>
      <formula>0.375</formula>
    </cfRule>
    <cfRule type="cellIs" dxfId="11798" priority="16947" operator="greaterThan">
      <formula>0.505</formula>
    </cfRule>
    <cfRule type="cellIs" dxfId="11797" priority="16948" operator="between">
      <formula>0.48</formula>
      <formula>0.5</formula>
    </cfRule>
    <cfRule type="cellIs" dxfId="11796" priority="16949" stopIfTrue="1" operator="between">
      <formula>0</formula>
      <formula>0.255</formula>
    </cfRule>
  </conditionalFormatting>
  <conditionalFormatting sqref="AA23:AC23">
    <cfRule type="cellIs" dxfId="11795" priority="16940" operator="between">
      <formula>0.56251</formula>
      <formula>0.7125</formula>
    </cfRule>
    <cfRule type="cellIs" dxfId="11794" priority="16941" operator="between">
      <formula>0.3751</formula>
      <formula>0.5625</formula>
    </cfRule>
    <cfRule type="cellIs" dxfId="11793" priority="16942" operator="greaterThan">
      <formula>0.751</formula>
    </cfRule>
    <cfRule type="cellIs" dxfId="11792" priority="16943" operator="between">
      <formula>0.71251</formula>
      <formula>0.75</formula>
    </cfRule>
    <cfRule type="cellIs" dxfId="11791" priority="16944" stopIfTrue="1" operator="between">
      <formula>0</formula>
      <formula>0.375</formula>
    </cfRule>
  </conditionalFormatting>
  <conditionalFormatting sqref="AH23">
    <cfRule type="cellIs" dxfId="11790" priority="16935" operator="between">
      <formula>0.76</formula>
      <formula>0.95</formula>
    </cfRule>
    <cfRule type="cellIs" dxfId="11789" priority="16936" operator="between">
      <formula>0.51</formula>
      <formula>0.75</formula>
    </cfRule>
    <cfRule type="cellIs" dxfId="11788" priority="16937" operator="greaterThan">
      <formula>1</formula>
    </cfRule>
    <cfRule type="cellIs" dxfId="11787" priority="16938" operator="between">
      <formula>0.95</formula>
      <formula>1</formula>
    </cfRule>
    <cfRule type="cellIs" dxfId="11786" priority="16939" stopIfTrue="1" operator="between">
      <formula>0</formula>
      <formula>0.5</formula>
    </cfRule>
  </conditionalFormatting>
  <conditionalFormatting sqref="U23:V23">
    <cfRule type="cellIs" dxfId="11785" priority="16925" operator="between">
      <formula>0.376</formula>
      <formula>0.475</formula>
    </cfRule>
    <cfRule type="cellIs" dxfId="11784" priority="16926" operator="between">
      <formula>0.2551</formula>
      <formula>0.3751</formula>
    </cfRule>
    <cfRule type="cellIs" dxfId="11783" priority="16927" operator="greaterThan">
      <formula>0.505</formula>
    </cfRule>
    <cfRule type="cellIs" dxfId="11782" priority="16928" operator="between">
      <formula>0.48</formula>
      <formula>0.5</formula>
    </cfRule>
    <cfRule type="cellIs" dxfId="11781" priority="16929" stopIfTrue="1" operator="between">
      <formula>0</formula>
      <formula>0.255</formula>
    </cfRule>
  </conditionalFormatting>
  <conditionalFormatting sqref="AG24:AG27 AI24:AI27 Z24:Z27">
    <cfRule type="cellIs" dxfId="11780" priority="16821" operator="between">
      <formula>0.76</formula>
      <formula>0.95</formula>
    </cfRule>
    <cfRule type="cellIs" dxfId="11779" priority="16822" operator="between">
      <formula>0.51</formula>
      <formula>0.75</formula>
    </cfRule>
    <cfRule type="cellIs" dxfId="11778" priority="16823" operator="greaterThan">
      <formula>1</formula>
    </cfRule>
    <cfRule type="cellIs" dxfId="11777" priority="16824" operator="between">
      <formula>0.95</formula>
      <formula>1</formula>
    </cfRule>
    <cfRule type="cellIs" dxfId="11776" priority="16825" stopIfTrue="1" operator="between">
      <formula>0</formula>
      <formula>0.5</formula>
    </cfRule>
  </conditionalFormatting>
  <conditionalFormatting sqref="R24:S27">
    <cfRule type="cellIs" dxfId="11775" priority="16816" operator="between">
      <formula>0.76</formula>
      <formula>0.95</formula>
    </cfRule>
    <cfRule type="cellIs" dxfId="11774" priority="16817" operator="between">
      <formula>0.51</formula>
      <formula>0.75</formula>
    </cfRule>
    <cfRule type="cellIs" dxfId="11773" priority="16818" operator="greaterThan">
      <formula>1</formula>
    </cfRule>
    <cfRule type="cellIs" dxfId="11772" priority="16819" operator="between">
      <formula>0.95</formula>
      <formula>1</formula>
    </cfRule>
    <cfRule type="cellIs" dxfId="11771" priority="16820" stopIfTrue="1" operator="between">
      <formula>0</formula>
      <formula>0.5</formula>
    </cfRule>
  </conditionalFormatting>
  <conditionalFormatting sqref="Y24:Y27">
    <cfRule type="cellIs" dxfId="11770" priority="16811" operator="between">
      <formula>0.76</formula>
      <formula>0.95</formula>
    </cfRule>
    <cfRule type="cellIs" dxfId="11769" priority="16812" operator="between">
      <formula>0.51</formula>
      <formula>0.75</formula>
    </cfRule>
    <cfRule type="cellIs" dxfId="11768" priority="16813" operator="greaterThan">
      <formula>1</formula>
    </cfRule>
    <cfRule type="cellIs" dxfId="11767" priority="16814" operator="between">
      <formula>0.95</formula>
      <formula>1</formula>
    </cfRule>
    <cfRule type="cellIs" dxfId="11766" priority="16815" stopIfTrue="1" operator="between">
      <formula>0</formula>
      <formula>0.5</formula>
    </cfRule>
  </conditionalFormatting>
  <conditionalFormatting sqref="AF24:AF27">
    <cfRule type="cellIs" dxfId="11765" priority="16806" operator="between">
      <formula>0.76</formula>
      <formula>0.95</formula>
    </cfRule>
    <cfRule type="cellIs" dxfId="11764" priority="16807" operator="between">
      <formula>0.51</formula>
      <formula>0.75</formula>
    </cfRule>
    <cfRule type="cellIs" dxfId="11763" priority="16808" operator="greaterThan">
      <formula>1</formula>
    </cfRule>
    <cfRule type="cellIs" dxfId="11762" priority="16809" operator="between">
      <formula>0.95</formula>
      <formula>1</formula>
    </cfRule>
    <cfRule type="cellIs" dxfId="11761" priority="16810" stopIfTrue="1" operator="between">
      <formula>0</formula>
      <formula>0.5</formula>
    </cfRule>
  </conditionalFormatting>
  <conditionalFormatting sqref="T24:T27">
    <cfRule type="cellIs" dxfId="11760" priority="16801" operator="between">
      <formula>0.3751</formula>
      <formula>0.475</formula>
    </cfRule>
    <cfRule type="cellIs" dxfId="11759" priority="16802" operator="between">
      <formula>0.2551</formula>
      <formula>0.375</formula>
    </cfRule>
    <cfRule type="cellIs" dxfId="11758" priority="16803" operator="greaterThan">
      <formula>0.505</formula>
    </cfRule>
    <cfRule type="cellIs" dxfId="11757" priority="16804" operator="between">
      <formula>0.48</formula>
      <formula>0.5</formula>
    </cfRule>
    <cfRule type="cellIs" dxfId="11756" priority="16805" stopIfTrue="1" operator="between">
      <formula>0</formula>
      <formula>0.255</formula>
    </cfRule>
  </conditionalFormatting>
  <conditionalFormatting sqref="AA24:AC27">
    <cfRule type="cellIs" dxfId="11755" priority="16796" operator="between">
      <formula>0.56251</formula>
      <formula>0.7125</formula>
    </cfRule>
    <cfRule type="cellIs" dxfId="11754" priority="16797" operator="between">
      <formula>0.3751</formula>
      <formula>0.5625</formula>
    </cfRule>
    <cfRule type="cellIs" dxfId="11753" priority="16798" operator="greaterThan">
      <formula>0.751</formula>
    </cfRule>
    <cfRule type="cellIs" dxfId="11752" priority="16799" operator="between">
      <formula>0.71251</formula>
      <formula>0.75</formula>
    </cfRule>
    <cfRule type="cellIs" dxfId="11751" priority="16800" stopIfTrue="1" operator="between">
      <formula>0</formula>
      <formula>0.375</formula>
    </cfRule>
  </conditionalFormatting>
  <conditionalFormatting sqref="AH24:AH27">
    <cfRule type="cellIs" dxfId="11750" priority="16791" operator="between">
      <formula>0.76</formula>
      <formula>0.95</formula>
    </cfRule>
    <cfRule type="cellIs" dxfId="11749" priority="16792" operator="between">
      <formula>0.51</formula>
      <formula>0.75</formula>
    </cfRule>
    <cfRule type="cellIs" dxfId="11748" priority="16793" operator="greaterThan">
      <formula>1</formula>
    </cfRule>
    <cfRule type="cellIs" dxfId="11747" priority="16794" operator="between">
      <formula>0.95</formula>
      <formula>1</formula>
    </cfRule>
    <cfRule type="cellIs" dxfId="11746" priority="16795" stopIfTrue="1" operator="between">
      <formula>0</formula>
      <formula>0.5</formula>
    </cfRule>
  </conditionalFormatting>
  <conditionalFormatting sqref="U24:V27">
    <cfRule type="cellIs" dxfId="11745" priority="16781" operator="between">
      <formula>0.376</formula>
      <formula>0.475</formula>
    </cfRule>
    <cfRule type="cellIs" dxfId="11744" priority="16782" operator="between">
      <formula>0.2551</formula>
      <formula>0.3751</formula>
    </cfRule>
    <cfRule type="cellIs" dxfId="11743" priority="16783" operator="greaterThan">
      <formula>0.505</formula>
    </cfRule>
    <cfRule type="cellIs" dxfId="11742" priority="16784" operator="between">
      <formula>0.48</formula>
      <formula>0.5</formula>
    </cfRule>
    <cfRule type="cellIs" dxfId="11741" priority="16785" stopIfTrue="1" operator="between">
      <formula>0</formula>
      <formula>0.255</formula>
    </cfRule>
  </conditionalFormatting>
  <conditionalFormatting sqref="AG145 AI145 S145 Z145">
    <cfRule type="cellIs" dxfId="11740" priority="16749" operator="between">
      <formula>0.76</formula>
      <formula>0.95</formula>
    </cfRule>
    <cfRule type="cellIs" dxfId="11739" priority="16750" operator="between">
      <formula>0.51</formula>
      <formula>0.75</formula>
    </cfRule>
    <cfRule type="cellIs" dxfId="11738" priority="16751" operator="greaterThan">
      <formula>1</formula>
    </cfRule>
    <cfRule type="cellIs" dxfId="11737" priority="16752" operator="between">
      <formula>0.95</formula>
      <formula>1</formula>
    </cfRule>
    <cfRule type="cellIs" dxfId="11736" priority="16753" stopIfTrue="1" operator="between">
      <formula>0</formula>
      <formula>0.5</formula>
    </cfRule>
  </conditionalFormatting>
  <conditionalFormatting sqref="R145">
    <cfRule type="cellIs" dxfId="11735" priority="16739" operator="between">
      <formula>0.76</formula>
      <formula>0.95</formula>
    </cfRule>
    <cfRule type="cellIs" dxfId="11734" priority="16740" operator="between">
      <formula>0.51</formula>
      <formula>0.75</formula>
    </cfRule>
    <cfRule type="cellIs" dxfId="11733" priority="16741" operator="greaterThan">
      <formula>1</formula>
    </cfRule>
    <cfRule type="cellIs" dxfId="11732" priority="16742" operator="between">
      <formula>0.95</formula>
      <formula>1</formula>
    </cfRule>
    <cfRule type="cellIs" dxfId="11731" priority="16743" stopIfTrue="1" operator="between">
      <formula>0</formula>
      <formula>0.5</formula>
    </cfRule>
  </conditionalFormatting>
  <conditionalFormatting sqref="Y145">
    <cfRule type="cellIs" dxfId="11730" priority="16734" operator="between">
      <formula>0.76</formula>
      <formula>0.95</formula>
    </cfRule>
    <cfRule type="cellIs" dxfId="11729" priority="16735" operator="between">
      <formula>0.51</formula>
      <formula>0.75</formula>
    </cfRule>
    <cfRule type="cellIs" dxfId="11728" priority="16736" operator="greaterThan">
      <formula>1</formula>
    </cfRule>
    <cfRule type="cellIs" dxfId="11727" priority="16737" operator="between">
      <formula>0.95</formula>
      <formula>1</formula>
    </cfRule>
    <cfRule type="cellIs" dxfId="11726" priority="16738" stopIfTrue="1" operator="between">
      <formula>0</formula>
      <formula>0.5</formula>
    </cfRule>
  </conditionalFormatting>
  <conditionalFormatting sqref="AF145">
    <cfRule type="cellIs" dxfId="11725" priority="16729" operator="between">
      <formula>0.76</formula>
      <formula>0.95</formula>
    </cfRule>
    <cfRule type="cellIs" dxfId="11724" priority="16730" operator="between">
      <formula>0.51</formula>
      <formula>0.75</formula>
    </cfRule>
    <cfRule type="cellIs" dxfId="11723" priority="16731" operator="greaterThan">
      <formula>1</formula>
    </cfRule>
    <cfRule type="cellIs" dxfId="11722" priority="16732" operator="between">
      <formula>0.95</formula>
      <formula>1</formula>
    </cfRule>
    <cfRule type="cellIs" dxfId="11721" priority="16733" stopIfTrue="1" operator="between">
      <formula>0</formula>
      <formula>0.5</formula>
    </cfRule>
  </conditionalFormatting>
  <conditionalFormatting sqref="AH145">
    <cfRule type="cellIs" dxfId="11720" priority="16724" operator="between">
      <formula>0.76</formula>
      <formula>0.95</formula>
    </cfRule>
    <cfRule type="cellIs" dxfId="11719" priority="16725" operator="between">
      <formula>0.51</formula>
      <formula>0.75</formula>
    </cfRule>
    <cfRule type="cellIs" dxfId="11718" priority="16726" operator="greaterThan">
      <formula>1</formula>
    </cfRule>
    <cfRule type="cellIs" dxfId="11717" priority="16727" operator="between">
      <formula>0.95</formula>
      <formula>1</formula>
    </cfRule>
    <cfRule type="cellIs" dxfId="11716" priority="16728" stopIfTrue="1" operator="between">
      <formula>0</formula>
      <formula>0.5</formula>
    </cfRule>
  </conditionalFormatting>
  <conditionalFormatting sqref="T145">
    <cfRule type="cellIs" dxfId="11715" priority="16709" operator="between">
      <formula>0.3751</formula>
      <formula>0.475</formula>
    </cfRule>
    <cfRule type="cellIs" dxfId="11714" priority="16710" operator="between">
      <formula>0.2551</formula>
      <formula>0.375</formula>
    </cfRule>
    <cfRule type="cellIs" dxfId="11713" priority="16711" operator="greaterThan">
      <formula>0.505</formula>
    </cfRule>
    <cfRule type="cellIs" dxfId="11712" priority="16712" operator="between">
      <formula>0.48</formula>
      <formula>0.5</formula>
    </cfRule>
    <cfRule type="cellIs" dxfId="11711" priority="16713" stopIfTrue="1" operator="between">
      <formula>0</formula>
      <formula>0.255</formula>
    </cfRule>
  </conditionalFormatting>
  <conditionalFormatting sqref="U145:V145">
    <cfRule type="cellIs" dxfId="11710" priority="16704" operator="between">
      <formula>0.376</formula>
      <formula>0.475</formula>
    </cfRule>
    <cfRule type="cellIs" dxfId="11709" priority="16705" operator="between">
      <formula>0.2551</formula>
      <formula>0.3751</formula>
    </cfRule>
    <cfRule type="cellIs" dxfId="11708" priority="16706" operator="greaterThan">
      <formula>0.505</formula>
    </cfRule>
    <cfRule type="cellIs" dxfId="11707" priority="16707" operator="between">
      <formula>0.48</formula>
      <formula>0.5</formula>
    </cfRule>
    <cfRule type="cellIs" dxfId="11706" priority="16708" stopIfTrue="1" operator="between">
      <formula>0</formula>
      <formula>0.255</formula>
    </cfRule>
  </conditionalFormatting>
  <conditionalFormatting sqref="AA145">
    <cfRule type="cellIs" dxfId="11705" priority="16699" operator="between">
      <formula>0.56251</formula>
      <formula>0.7125</formula>
    </cfRule>
    <cfRule type="cellIs" dxfId="11704" priority="16700" operator="between">
      <formula>0.3751</formula>
      <formula>0.5625</formula>
    </cfRule>
    <cfRule type="cellIs" dxfId="11703" priority="16701" operator="greaterThan">
      <formula>0.751</formula>
    </cfRule>
    <cfRule type="cellIs" dxfId="11702" priority="16702" operator="between">
      <formula>0.71251</formula>
      <formula>0.75</formula>
    </cfRule>
    <cfRule type="cellIs" dxfId="11701" priority="16703" stopIfTrue="1" operator="between">
      <formula>0</formula>
      <formula>0.375</formula>
    </cfRule>
  </conditionalFormatting>
  <conditionalFormatting sqref="AC145">
    <cfRule type="cellIs" dxfId="11700" priority="16694" operator="between">
      <formula>0.56251</formula>
      <formula>0.7125</formula>
    </cfRule>
    <cfRule type="cellIs" dxfId="11699" priority="16695" operator="between">
      <formula>0.3751</formula>
      <formula>0.5625</formula>
    </cfRule>
    <cfRule type="cellIs" dxfId="11698" priority="16696" operator="greaterThan">
      <formula>0.751</formula>
    </cfRule>
    <cfRule type="cellIs" dxfId="11697" priority="16697" operator="between">
      <formula>0.71251</formula>
      <formula>0.75</formula>
    </cfRule>
    <cfRule type="cellIs" dxfId="11696" priority="16698" stopIfTrue="1" operator="between">
      <formula>0</formula>
      <formula>0.375</formula>
    </cfRule>
  </conditionalFormatting>
  <conditionalFormatting sqref="AB145">
    <cfRule type="cellIs" dxfId="11695" priority="16689" operator="between">
      <formula>0.56251</formula>
      <formula>0.7125</formula>
    </cfRule>
    <cfRule type="cellIs" dxfId="11694" priority="16690" operator="between">
      <formula>0.3751</formula>
      <formula>0.5625</formula>
    </cfRule>
    <cfRule type="cellIs" dxfId="11693" priority="16691" operator="greaterThan">
      <formula>0.751</formula>
    </cfRule>
    <cfRule type="cellIs" dxfId="11692" priority="16692" operator="between">
      <formula>0.71251</formula>
      <formula>0.75</formula>
    </cfRule>
    <cfRule type="cellIs" dxfId="11691" priority="16693" stopIfTrue="1" operator="between">
      <formula>0</formula>
      <formula>0.375</formula>
    </cfRule>
  </conditionalFormatting>
  <conditionalFormatting sqref="AG146 AI146 S146 Z146">
    <cfRule type="cellIs" dxfId="11690" priority="16672" operator="between">
      <formula>0.76</formula>
      <formula>0.95</formula>
    </cfRule>
    <cfRule type="cellIs" dxfId="11689" priority="16673" operator="between">
      <formula>0.51</formula>
      <formula>0.75</formula>
    </cfRule>
    <cfRule type="cellIs" dxfId="11688" priority="16674" operator="greaterThan">
      <formula>1</formula>
    </cfRule>
    <cfRule type="cellIs" dxfId="11687" priority="16675" operator="between">
      <formula>0.95</formula>
      <formula>1</formula>
    </cfRule>
    <cfRule type="cellIs" dxfId="11686" priority="16676" stopIfTrue="1" operator="between">
      <formula>0</formula>
      <formula>0.5</formula>
    </cfRule>
  </conditionalFormatting>
  <conditionalFormatting sqref="R146">
    <cfRule type="cellIs" dxfId="11685" priority="16662" operator="between">
      <formula>0.76</formula>
      <formula>0.95</formula>
    </cfRule>
    <cfRule type="cellIs" dxfId="11684" priority="16663" operator="between">
      <formula>0.51</formula>
      <formula>0.75</formula>
    </cfRule>
    <cfRule type="cellIs" dxfId="11683" priority="16664" operator="greaterThan">
      <formula>1</formula>
    </cfRule>
    <cfRule type="cellIs" dxfId="11682" priority="16665" operator="between">
      <formula>0.95</formula>
      <formula>1</formula>
    </cfRule>
    <cfRule type="cellIs" dxfId="11681" priority="16666" stopIfTrue="1" operator="between">
      <formula>0</formula>
      <formula>0.5</formula>
    </cfRule>
  </conditionalFormatting>
  <conditionalFormatting sqref="Y146">
    <cfRule type="cellIs" dxfId="11680" priority="16657" operator="between">
      <formula>0.76</formula>
      <formula>0.95</formula>
    </cfRule>
    <cfRule type="cellIs" dxfId="11679" priority="16658" operator="between">
      <formula>0.51</formula>
      <formula>0.75</formula>
    </cfRule>
    <cfRule type="cellIs" dxfId="11678" priority="16659" operator="greaterThan">
      <formula>1</formula>
    </cfRule>
    <cfRule type="cellIs" dxfId="11677" priority="16660" operator="between">
      <formula>0.95</formula>
      <formula>1</formula>
    </cfRule>
    <cfRule type="cellIs" dxfId="11676" priority="16661" stopIfTrue="1" operator="between">
      <formula>0</formula>
      <formula>0.5</formula>
    </cfRule>
  </conditionalFormatting>
  <conditionalFormatting sqref="AF146">
    <cfRule type="cellIs" dxfId="11675" priority="16652" operator="between">
      <formula>0.76</formula>
      <formula>0.95</formula>
    </cfRule>
    <cfRule type="cellIs" dxfId="11674" priority="16653" operator="between">
      <formula>0.51</formula>
      <formula>0.75</formula>
    </cfRule>
    <cfRule type="cellIs" dxfId="11673" priority="16654" operator="greaterThan">
      <formula>1</formula>
    </cfRule>
    <cfRule type="cellIs" dxfId="11672" priority="16655" operator="between">
      <formula>0.95</formula>
      <formula>1</formula>
    </cfRule>
    <cfRule type="cellIs" dxfId="11671" priority="16656" stopIfTrue="1" operator="between">
      <formula>0</formula>
      <formula>0.5</formula>
    </cfRule>
  </conditionalFormatting>
  <conditionalFormatting sqref="AH146">
    <cfRule type="cellIs" dxfId="11670" priority="16647" operator="between">
      <formula>0.76</formula>
      <formula>0.95</formula>
    </cfRule>
    <cfRule type="cellIs" dxfId="11669" priority="16648" operator="between">
      <formula>0.51</formula>
      <formula>0.75</formula>
    </cfRule>
    <cfRule type="cellIs" dxfId="11668" priority="16649" operator="greaterThan">
      <formula>1</formula>
    </cfRule>
    <cfRule type="cellIs" dxfId="11667" priority="16650" operator="between">
      <formula>0.95</formula>
      <formula>1</formula>
    </cfRule>
    <cfRule type="cellIs" dxfId="11666" priority="16651" stopIfTrue="1" operator="between">
      <formula>0</formula>
      <formula>0.5</formula>
    </cfRule>
  </conditionalFormatting>
  <conditionalFormatting sqref="T146">
    <cfRule type="cellIs" dxfId="11665" priority="16632" operator="between">
      <formula>0.3751</formula>
      <formula>0.475</formula>
    </cfRule>
    <cfRule type="cellIs" dxfId="11664" priority="16633" operator="between">
      <formula>0.2551</formula>
      <formula>0.375</formula>
    </cfRule>
    <cfRule type="cellIs" dxfId="11663" priority="16634" operator="greaterThan">
      <formula>0.505</formula>
    </cfRule>
    <cfRule type="cellIs" dxfId="11662" priority="16635" operator="between">
      <formula>0.48</formula>
      <formula>0.5</formula>
    </cfRule>
    <cfRule type="cellIs" dxfId="11661" priority="16636" stopIfTrue="1" operator="between">
      <formula>0</formula>
      <formula>0.255</formula>
    </cfRule>
  </conditionalFormatting>
  <conditionalFormatting sqref="U146:V146">
    <cfRule type="cellIs" dxfId="11660" priority="16627" operator="between">
      <formula>0.376</formula>
      <formula>0.475</formula>
    </cfRule>
    <cfRule type="cellIs" dxfId="11659" priority="16628" operator="between">
      <formula>0.2551</formula>
      <formula>0.3751</formula>
    </cfRule>
    <cfRule type="cellIs" dxfId="11658" priority="16629" operator="greaterThan">
      <formula>0.505</formula>
    </cfRule>
    <cfRule type="cellIs" dxfId="11657" priority="16630" operator="between">
      <formula>0.48</formula>
      <formula>0.5</formula>
    </cfRule>
    <cfRule type="cellIs" dxfId="11656" priority="16631" stopIfTrue="1" operator="between">
      <formula>0</formula>
      <formula>0.255</formula>
    </cfRule>
  </conditionalFormatting>
  <conditionalFormatting sqref="AA146">
    <cfRule type="cellIs" dxfId="11655" priority="16622" operator="between">
      <formula>0.56251</formula>
      <formula>0.7125</formula>
    </cfRule>
    <cfRule type="cellIs" dxfId="11654" priority="16623" operator="between">
      <formula>0.3751</formula>
      <formula>0.5625</formula>
    </cfRule>
    <cfRule type="cellIs" dxfId="11653" priority="16624" operator="greaterThan">
      <formula>0.751</formula>
    </cfRule>
    <cfRule type="cellIs" dxfId="11652" priority="16625" operator="between">
      <formula>0.71251</formula>
      <formula>0.75</formula>
    </cfRule>
    <cfRule type="cellIs" dxfId="11651" priority="16626" stopIfTrue="1" operator="between">
      <formula>0</formula>
      <formula>0.375</formula>
    </cfRule>
  </conditionalFormatting>
  <conditionalFormatting sqref="AC146">
    <cfRule type="cellIs" dxfId="11650" priority="16617" operator="between">
      <formula>0.56251</formula>
      <formula>0.7125</formula>
    </cfRule>
    <cfRule type="cellIs" dxfId="11649" priority="16618" operator="between">
      <formula>0.3751</formula>
      <formula>0.5625</formula>
    </cfRule>
    <cfRule type="cellIs" dxfId="11648" priority="16619" operator="greaterThan">
      <formula>0.751</formula>
    </cfRule>
    <cfRule type="cellIs" dxfId="11647" priority="16620" operator="between">
      <formula>0.71251</formula>
      <formula>0.75</formula>
    </cfRule>
    <cfRule type="cellIs" dxfId="11646" priority="16621" stopIfTrue="1" operator="between">
      <formula>0</formula>
      <formula>0.375</formula>
    </cfRule>
  </conditionalFormatting>
  <conditionalFormatting sqref="AB146">
    <cfRule type="cellIs" dxfId="11645" priority="16612" operator="between">
      <formula>0.56251</formula>
      <formula>0.7125</formula>
    </cfRule>
    <cfRule type="cellIs" dxfId="11644" priority="16613" operator="between">
      <formula>0.3751</formula>
      <formula>0.5625</formula>
    </cfRule>
    <cfRule type="cellIs" dxfId="11643" priority="16614" operator="greaterThan">
      <formula>0.751</formula>
    </cfRule>
    <cfRule type="cellIs" dxfId="11642" priority="16615" operator="between">
      <formula>0.71251</formula>
      <formula>0.75</formula>
    </cfRule>
    <cfRule type="cellIs" dxfId="11641" priority="16616" stopIfTrue="1" operator="between">
      <formula>0</formula>
      <formula>0.375</formula>
    </cfRule>
  </conditionalFormatting>
  <conditionalFormatting sqref="AG147 AI147 S147 Z147">
    <cfRule type="cellIs" dxfId="11640" priority="16595" operator="between">
      <formula>0.76</formula>
      <formula>0.95</formula>
    </cfRule>
    <cfRule type="cellIs" dxfId="11639" priority="16596" operator="between">
      <formula>0.51</formula>
      <formula>0.75</formula>
    </cfRule>
    <cfRule type="cellIs" dxfId="11638" priority="16597" operator="greaterThan">
      <formula>1</formula>
    </cfRule>
    <cfRule type="cellIs" dxfId="11637" priority="16598" operator="between">
      <formula>0.95</formula>
      <formula>1</formula>
    </cfRule>
    <cfRule type="cellIs" dxfId="11636" priority="16599" stopIfTrue="1" operator="between">
      <formula>0</formula>
      <formula>0.5</formula>
    </cfRule>
  </conditionalFormatting>
  <conditionalFormatting sqref="R147">
    <cfRule type="cellIs" dxfId="11635" priority="16585" operator="between">
      <formula>0.76</formula>
      <formula>0.95</formula>
    </cfRule>
    <cfRule type="cellIs" dxfId="11634" priority="16586" operator="between">
      <formula>0.51</formula>
      <formula>0.75</formula>
    </cfRule>
    <cfRule type="cellIs" dxfId="11633" priority="16587" operator="greaterThan">
      <formula>1</formula>
    </cfRule>
    <cfRule type="cellIs" dxfId="11632" priority="16588" operator="between">
      <formula>0.95</formula>
      <formula>1</formula>
    </cfRule>
    <cfRule type="cellIs" dxfId="11631" priority="16589" stopIfTrue="1" operator="between">
      <formula>0</formula>
      <formula>0.5</formula>
    </cfRule>
  </conditionalFormatting>
  <conditionalFormatting sqref="Y147">
    <cfRule type="cellIs" dxfId="11630" priority="16580" operator="between">
      <formula>0.76</formula>
      <formula>0.95</formula>
    </cfRule>
    <cfRule type="cellIs" dxfId="11629" priority="16581" operator="between">
      <formula>0.51</formula>
      <formula>0.75</formula>
    </cfRule>
    <cfRule type="cellIs" dxfId="11628" priority="16582" operator="greaterThan">
      <formula>1</formula>
    </cfRule>
    <cfRule type="cellIs" dxfId="11627" priority="16583" operator="between">
      <formula>0.95</formula>
      <formula>1</formula>
    </cfRule>
    <cfRule type="cellIs" dxfId="11626" priority="16584" stopIfTrue="1" operator="between">
      <formula>0</formula>
      <formula>0.5</formula>
    </cfRule>
  </conditionalFormatting>
  <conditionalFormatting sqref="AF147">
    <cfRule type="cellIs" dxfId="11625" priority="16575" operator="between">
      <formula>0.76</formula>
      <formula>0.95</formula>
    </cfRule>
    <cfRule type="cellIs" dxfId="11624" priority="16576" operator="between">
      <formula>0.51</formula>
      <formula>0.75</formula>
    </cfRule>
    <cfRule type="cellIs" dxfId="11623" priority="16577" operator="greaterThan">
      <formula>1</formula>
    </cfRule>
    <cfRule type="cellIs" dxfId="11622" priority="16578" operator="between">
      <formula>0.95</formula>
      <formula>1</formula>
    </cfRule>
    <cfRule type="cellIs" dxfId="11621" priority="16579" stopIfTrue="1" operator="between">
      <formula>0</formula>
      <formula>0.5</formula>
    </cfRule>
  </conditionalFormatting>
  <conditionalFormatting sqref="AH147">
    <cfRule type="cellIs" dxfId="11620" priority="16570" operator="between">
      <formula>0.76</formula>
      <formula>0.95</formula>
    </cfRule>
    <cfRule type="cellIs" dxfId="11619" priority="16571" operator="between">
      <formula>0.51</formula>
      <formula>0.75</formula>
    </cfRule>
    <cfRule type="cellIs" dxfId="11618" priority="16572" operator="greaterThan">
      <formula>1</formula>
    </cfRule>
    <cfRule type="cellIs" dxfId="11617" priority="16573" operator="between">
      <formula>0.95</formula>
      <formula>1</formula>
    </cfRule>
    <cfRule type="cellIs" dxfId="11616" priority="16574" stopIfTrue="1" operator="between">
      <formula>0</formula>
      <formula>0.5</formula>
    </cfRule>
  </conditionalFormatting>
  <conditionalFormatting sqref="T147">
    <cfRule type="cellIs" dxfId="11615" priority="16555" operator="between">
      <formula>0.3751</formula>
      <formula>0.475</formula>
    </cfRule>
    <cfRule type="cellIs" dxfId="11614" priority="16556" operator="between">
      <formula>0.2551</formula>
      <formula>0.375</formula>
    </cfRule>
    <cfRule type="cellIs" dxfId="11613" priority="16557" operator="greaterThan">
      <formula>0.505</formula>
    </cfRule>
    <cfRule type="cellIs" dxfId="11612" priority="16558" operator="between">
      <formula>0.48</formula>
      <formula>0.5</formula>
    </cfRule>
    <cfRule type="cellIs" dxfId="11611" priority="16559" stopIfTrue="1" operator="between">
      <formula>0</formula>
      <formula>0.255</formula>
    </cfRule>
  </conditionalFormatting>
  <conditionalFormatting sqref="U147:V147">
    <cfRule type="cellIs" dxfId="11610" priority="16550" operator="between">
      <formula>0.376</formula>
      <formula>0.475</formula>
    </cfRule>
    <cfRule type="cellIs" dxfId="11609" priority="16551" operator="between">
      <formula>0.2551</formula>
      <formula>0.3751</formula>
    </cfRule>
    <cfRule type="cellIs" dxfId="11608" priority="16552" operator="greaterThan">
      <formula>0.505</formula>
    </cfRule>
    <cfRule type="cellIs" dxfId="11607" priority="16553" operator="between">
      <formula>0.48</formula>
      <formula>0.5</formula>
    </cfRule>
    <cfRule type="cellIs" dxfId="11606" priority="16554" stopIfTrue="1" operator="between">
      <formula>0</formula>
      <formula>0.255</formula>
    </cfRule>
  </conditionalFormatting>
  <conditionalFormatting sqref="AA147">
    <cfRule type="cellIs" dxfId="11605" priority="16545" operator="between">
      <formula>0.56251</formula>
      <formula>0.7125</formula>
    </cfRule>
    <cfRule type="cellIs" dxfId="11604" priority="16546" operator="between">
      <formula>0.3751</formula>
      <formula>0.5625</formula>
    </cfRule>
    <cfRule type="cellIs" dxfId="11603" priority="16547" operator="greaterThan">
      <formula>0.751</formula>
    </cfRule>
    <cfRule type="cellIs" dxfId="11602" priority="16548" operator="between">
      <formula>0.71251</formula>
      <formula>0.75</formula>
    </cfRule>
    <cfRule type="cellIs" dxfId="11601" priority="16549" stopIfTrue="1" operator="between">
      <formula>0</formula>
      <formula>0.375</formula>
    </cfRule>
  </conditionalFormatting>
  <conditionalFormatting sqref="AC147">
    <cfRule type="cellIs" dxfId="11600" priority="16540" operator="between">
      <formula>0.56251</formula>
      <formula>0.7125</formula>
    </cfRule>
    <cfRule type="cellIs" dxfId="11599" priority="16541" operator="between">
      <formula>0.3751</formula>
      <formula>0.5625</formula>
    </cfRule>
    <cfRule type="cellIs" dxfId="11598" priority="16542" operator="greaterThan">
      <formula>0.751</formula>
    </cfRule>
    <cfRule type="cellIs" dxfId="11597" priority="16543" operator="between">
      <formula>0.71251</formula>
      <formula>0.75</formula>
    </cfRule>
    <cfRule type="cellIs" dxfId="11596" priority="16544" stopIfTrue="1" operator="between">
      <formula>0</formula>
      <formula>0.375</formula>
    </cfRule>
  </conditionalFormatting>
  <conditionalFormatting sqref="AB147">
    <cfRule type="cellIs" dxfId="11595" priority="16535" operator="between">
      <formula>0.56251</formula>
      <formula>0.7125</formula>
    </cfRule>
    <cfRule type="cellIs" dxfId="11594" priority="16536" operator="between">
      <formula>0.3751</formula>
      <formula>0.5625</formula>
    </cfRule>
    <cfRule type="cellIs" dxfId="11593" priority="16537" operator="greaterThan">
      <formula>0.751</formula>
    </cfRule>
    <cfRule type="cellIs" dxfId="11592" priority="16538" operator="between">
      <formula>0.71251</formula>
      <formula>0.75</formula>
    </cfRule>
    <cfRule type="cellIs" dxfId="11591" priority="16539" stopIfTrue="1" operator="between">
      <formula>0</formula>
      <formula>0.375</formula>
    </cfRule>
  </conditionalFormatting>
  <conditionalFormatting sqref="AG148:AG150 AI148:AI150 S148:S150 Z148:Z150">
    <cfRule type="cellIs" dxfId="11590" priority="16518" operator="between">
      <formula>0.76</formula>
      <formula>0.95</formula>
    </cfRule>
    <cfRule type="cellIs" dxfId="11589" priority="16519" operator="between">
      <formula>0.51</formula>
      <formula>0.75</formula>
    </cfRule>
    <cfRule type="cellIs" dxfId="11588" priority="16520" operator="greaterThan">
      <formula>1</formula>
    </cfRule>
    <cfRule type="cellIs" dxfId="11587" priority="16521" operator="between">
      <formula>0.95</formula>
      <formula>1</formula>
    </cfRule>
    <cfRule type="cellIs" dxfId="11586" priority="16522" stopIfTrue="1" operator="between">
      <formula>0</formula>
      <formula>0.5</formula>
    </cfRule>
  </conditionalFormatting>
  <conditionalFormatting sqref="R148:R150">
    <cfRule type="cellIs" dxfId="11585" priority="16508" operator="between">
      <formula>0.76</formula>
      <formula>0.95</formula>
    </cfRule>
    <cfRule type="cellIs" dxfId="11584" priority="16509" operator="between">
      <formula>0.51</formula>
      <formula>0.75</formula>
    </cfRule>
    <cfRule type="cellIs" dxfId="11583" priority="16510" operator="greaterThan">
      <formula>1</formula>
    </cfRule>
    <cfRule type="cellIs" dxfId="11582" priority="16511" operator="between">
      <formula>0.95</formula>
      <formula>1</formula>
    </cfRule>
    <cfRule type="cellIs" dxfId="11581" priority="16512" stopIfTrue="1" operator="between">
      <formula>0</formula>
      <formula>0.5</formula>
    </cfRule>
  </conditionalFormatting>
  <conditionalFormatting sqref="Y148:Y150">
    <cfRule type="cellIs" dxfId="11580" priority="16503" operator="between">
      <formula>0.76</formula>
      <formula>0.95</formula>
    </cfRule>
    <cfRule type="cellIs" dxfId="11579" priority="16504" operator="between">
      <formula>0.51</formula>
      <formula>0.75</formula>
    </cfRule>
    <cfRule type="cellIs" dxfId="11578" priority="16505" operator="greaterThan">
      <formula>1</formula>
    </cfRule>
    <cfRule type="cellIs" dxfId="11577" priority="16506" operator="between">
      <formula>0.95</formula>
      <formula>1</formula>
    </cfRule>
    <cfRule type="cellIs" dxfId="11576" priority="16507" stopIfTrue="1" operator="between">
      <formula>0</formula>
      <formula>0.5</formula>
    </cfRule>
  </conditionalFormatting>
  <conditionalFormatting sqref="AF148:AF150">
    <cfRule type="cellIs" dxfId="11575" priority="16498" operator="between">
      <formula>0.76</formula>
      <formula>0.95</formula>
    </cfRule>
    <cfRule type="cellIs" dxfId="11574" priority="16499" operator="between">
      <formula>0.51</formula>
      <formula>0.75</formula>
    </cfRule>
    <cfRule type="cellIs" dxfId="11573" priority="16500" operator="greaterThan">
      <formula>1</formula>
    </cfRule>
    <cfRule type="cellIs" dxfId="11572" priority="16501" operator="between">
      <formula>0.95</formula>
      <formula>1</formula>
    </cfRule>
    <cfRule type="cellIs" dxfId="11571" priority="16502" stopIfTrue="1" operator="between">
      <formula>0</formula>
      <formula>0.5</formula>
    </cfRule>
  </conditionalFormatting>
  <conditionalFormatting sqref="AH148:AH150">
    <cfRule type="cellIs" dxfId="11570" priority="16493" operator="between">
      <formula>0.76</formula>
      <formula>0.95</formula>
    </cfRule>
    <cfRule type="cellIs" dxfId="11569" priority="16494" operator="between">
      <formula>0.51</formula>
      <formula>0.75</formula>
    </cfRule>
    <cfRule type="cellIs" dxfId="11568" priority="16495" operator="greaterThan">
      <formula>1</formula>
    </cfRule>
    <cfRule type="cellIs" dxfId="11567" priority="16496" operator="between">
      <formula>0.95</formula>
      <formula>1</formula>
    </cfRule>
    <cfRule type="cellIs" dxfId="11566" priority="16497" stopIfTrue="1" operator="between">
      <formula>0</formula>
      <formula>0.5</formula>
    </cfRule>
  </conditionalFormatting>
  <conditionalFormatting sqref="T148:T150">
    <cfRule type="cellIs" dxfId="11565" priority="16478" operator="between">
      <formula>0.3751</formula>
      <formula>0.475</formula>
    </cfRule>
    <cfRule type="cellIs" dxfId="11564" priority="16479" operator="between">
      <formula>0.2551</formula>
      <formula>0.375</formula>
    </cfRule>
    <cfRule type="cellIs" dxfId="11563" priority="16480" operator="greaterThan">
      <formula>0.505</formula>
    </cfRule>
    <cfRule type="cellIs" dxfId="11562" priority="16481" operator="between">
      <formula>0.48</formula>
      <formula>0.5</formula>
    </cfRule>
    <cfRule type="cellIs" dxfId="11561" priority="16482" stopIfTrue="1" operator="between">
      <formula>0</formula>
      <formula>0.255</formula>
    </cfRule>
  </conditionalFormatting>
  <conditionalFormatting sqref="U148:V150">
    <cfRule type="cellIs" dxfId="11560" priority="16473" operator="between">
      <formula>0.376</formula>
      <formula>0.475</formula>
    </cfRule>
    <cfRule type="cellIs" dxfId="11559" priority="16474" operator="between">
      <formula>0.2551</formula>
      <formula>0.3751</formula>
    </cfRule>
    <cfRule type="cellIs" dxfId="11558" priority="16475" operator="greaterThan">
      <formula>0.505</formula>
    </cfRule>
    <cfRule type="cellIs" dxfId="11557" priority="16476" operator="between">
      <formula>0.48</formula>
      <formula>0.5</formula>
    </cfRule>
    <cfRule type="cellIs" dxfId="11556" priority="16477" stopIfTrue="1" operator="between">
      <formula>0</formula>
      <formula>0.255</formula>
    </cfRule>
  </conditionalFormatting>
  <conditionalFormatting sqref="AA148:AA150">
    <cfRule type="cellIs" dxfId="11555" priority="16468" operator="between">
      <formula>0.56251</formula>
      <formula>0.7125</formula>
    </cfRule>
    <cfRule type="cellIs" dxfId="11554" priority="16469" operator="between">
      <formula>0.3751</formula>
      <formula>0.5625</formula>
    </cfRule>
    <cfRule type="cellIs" dxfId="11553" priority="16470" operator="greaterThan">
      <formula>0.751</formula>
    </cfRule>
    <cfRule type="cellIs" dxfId="11552" priority="16471" operator="between">
      <formula>0.71251</formula>
      <formula>0.75</formula>
    </cfRule>
    <cfRule type="cellIs" dxfId="11551" priority="16472" stopIfTrue="1" operator="between">
      <formula>0</formula>
      <formula>0.375</formula>
    </cfRule>
  </conditionalFormatting>
  <conditionalFormatting sqref="AC148:AC150">
    <cfRule type="cellIs" dxfId="11550" priority="16463" operator="between">
      <formula>0.56251</formula>
      <formula>0.7125</formula>
    </cfRule>
    <cfRule type="cellIs" dxfId="11549" priority="16464" operator="between">
      <formula>0.3751</formula>
      <formula>0.5625</formula>
    </cfRule>
    <cfRule type="cellIs" dxfId="11548" priority="16465" operator="greaterThan">
      <formula>0.751</formula>
    </cfRule>
    <cfRule type="cellIs" dxfId="11547" priority="16466" operator="between">
      <formula>0.71251</formula>
      <formula>0.75</formula>
    </cfRule>
    <cfRule type="cellIs" dxfId="11546" priority="16467" stopIfTrue="1" operator="between">
      <formula>0</formula>
      <formula>0.375</formula>
    </cfRule>
  </conditionalFormatting>
  <conditionalFormatting sqref="AB148:AB150">
    <cfRule type="cellIs" dxfId="11545" priority="16458" operator="between">
      <formula>0.56251</formula>
      <formula>0.7125</formula>
    </cfRule>
    <cfRule type="cellIs" dxfId="11544" priority="16459" operator="between">
      <formula>0.3751</formula>
      <formula>0.5625</formula>
    </cfRule>
    <cfRule type="cellIs" dxfId="11543" priority="16460" operator="greaterThan">
      <formula>0.751</formula>
    </cfRule>
    <cfRule type="cellIs" dxfId="11542" priority="16461" operator="between">
      <formula>0.71251</formula>
      <formula>0.75</formula>
    </cfRule>
    <cfRule type="cellIs" dxfId="11541" priority="16462" stopIfTrue="1" operator="between">
      <formula>0</formula>
      <formula>0.375</formula>
    </cfRule>
  </conditionalFormatting>
  <conditionalFormatting sqref="S207">
    <cfRule type="cellIs" dxfId="11540" priority="16431" operator="between">
      <formula>0.76</formula>
      <formula>0.95</formula>
    </cfRule>
    <cfRule type="cellIs" dxfId="11539" priority="16432" operator="between">
      <formula>0.51</formula>
      <formula>0.75</formula>
    </cfRule>
    <cfRule type="cellIs" dxfId="11538" priority="16433" operator="greaterThan">
      <formula>1</formula>
    </cfRule>
    <cfRule type="cellIs" dxfId="11537" priority="16434" operator="between">
      <formula>0.95</formula>
      <formula>1</formula>
    </cfRule>
    <cfRule type="cellIs" dxfId="11536" priority="16435" stopIfTrue="1" operator="between">
      <formula>0</formula>
      <formula>0.5</formula>
    </cfRule>
  </conditionalFormatting>
  <conditionalFormatting sqref="R207">
    <cfRule type="cellIs" dxfId="11535" priority="16426" operator="between">
      <formula>0.76</formula>
      <formula>0.95</formula>
    </cfRule>
    <cfRule type="cellIs" dxfId="11534" priority="16427" operator="between">
      <formula>0.51</formula>
      <formula>0.75</formula>
    </cfRule>
    <cfRule type="cellIs" dxfId="11533" priority="16428" operator="greaterThan">
      <formula>1</formula>
    </cfRule>
    <cfRule type="cellIs" dxfId="11532" priority="16429" operator="between">
      <formula>0.95</formula>
      <formula>1</formula>
    </cfRule>
    <cfRule type="cellIs" dxfId="11531" priority="16430" stopIfTrue="1" operator="between">
      <formula>0</formula>
      <formula>0.5</formula>
    </cfRule>
  </conditionalFormatting>
  <conditionalFormatting sqref="Y207">
    <cfRule type="cellIs" dxfId="11530" priority="16421" operator="between">
      <formula>0.76</formula>
      <formula>0.95</formula>
    </cfRule>
    <cfRule type="cellIs" dxfId="11529" priority="16422" operator="between">
      <formula>0.51</formula>
      <formula>0.75</formula>
    </cfRule>
    <cfRule type="cellIs" dxfId="11528" priority="16423" operator="greaterThan">
      <formula>1</formula>
    </cfRule>
    <cfRule type="cellIs" dxfId="11527" priority="16424" operator="between">
      <formula>0.95</formula>
      <formula>1</formula>
    </cfRule>
    <cfRule type="cellIs" dxfId="11526" priority="16425" stopIfTrue="1" operator="between">
      <formula>0</formula>
      <formula>0.5</formula>
    </cfRule>
  </conditionalFormatting>
  <conditionalFormatting sqref="AF207">
    <cfRule type="cellIs" dxfId="11525" priority="16416" operator="between">
      <formula>0.76</formula>
      <formula>0.95</formula>
    </cfRule>
    <cfRule type="cellIs" dxfId="11524" priority="16417" operator="between">
      <formula>0.51</formula>
      <formula>0.75</formula>
    </cfRule>
    <cfRule type="cellIs" dxfId="11523" priority="16418" operator="greaterThan">
      <formula>1</formula>
    </cfRule>
    <cfRule type="cellIs" dxfId="11522" priority="16419" operator="between">
      <formula>0.95</formula>
      <formula>1</formula>
    </cfRule>
    <cfRule type="cellIs" dxfId="11521" priority="16420" stopIfTrue="1" operator="between">
      <formula>0</formula>
      <formula>0.5</formula>
    </cfRule>
  </conditionalFormatting>
  <conditionalFormatting sqref="AH207">
    <cfRule type="cellIs" dxfId="11520" priority="16411" operator="between">
      <formula>0.76</formula>
      <formula>0.95</formula>
    </cfRule>
    <cfRule type="cellIs" dxfId="11519" priority="16412" operator="between">
      <formula>0.51</formula>
      <formula>0.75</formula>
    </cfRule>
    <cfRule type="cellIs" dxfId="11518" priority="16413" operator="greaterThan">
      <formula>1</formula>
    </cfRule>
    <cfRule type="cellIs" dxfId="11517" priority="16414" operator="between">
      <formula>0.95</formula>
      <formula>1</formula>
    </cfRule>
    <cfRule type="cellIs" dxfId="11516" priority="16415" stopIfTrue="1" operator="between">
      <formula>0</formula>
      <formula>0.5</formula>
    </cfRule>
  </conditionalFormatting>
  <conditionalFormatting sqref="T207">
    <cfRule type="cellIs" dxfId="11515" priority="16396" operator="between">
      <formula>0.3751</formula>
      <formula>0.475</formula>
    </cfRule>
    <cfRule type="cellIs" dxfId="11514" priority="16397" operator="between">
      <formula>0.2551</formula>
      <formula>0.375</formula>
    </cfRule>
    <cfRule type="cellIs" dxfId="11513" priority="16398" operator="greaterThan">
      <formula>0.505</formula>
    </cfRule>
    <cfRule type="cellIs" dxfId="11512" priority="16399" operator="between">
      <formula>0.48</formula>
      <formula>0.5</formula>
    </cfRule>
    <cfRule type="cellIs" dxfId="11511" priority="16400" stopIfTrue="1" operator="between">
      <formula>0</formula>
      <formula>0.255</formula>
    </cfRule>
  </conditionalFormatting>
  <conditionalFormatting sqref="U207:V207">
    <cfRule type="cellIs" dxfId="11510" priority="16391" operator="between">
      <formula>0.376</formula>
      <formula>0.475</formula>
    </cfRule>
    <cfRule type="cellIs" dxfId="11509" priority="16392" operator="between">
      <formula>0.2551</formula>
      <formula>0.3751</formula>
    </cfRule>
    <cfRule type="cellIs" dxfId="11508" priority="16393" operator="greaterThan">
      <formula>0.505</formula>
    </cfRule>
    <cfRule type="cellIs" dxfId="11507" priority="16394" operator="between">
      <formula>0.48</formula>
      <formula>0.5</formula>
    </cfRule>
    <cfRule type="cellIs" dxfId="11506" priority="16395" stopIfTrue="1" operator="between">
      <formula>0</formula>
      <formula>0.255</formula>
    </cfRule>
  </conditionalFormatting>
  <conditionalFormatting sqref="Z207">
    <cfRule type="cellIs" dxfId="11505" priority="16386" operator="between">
      <formula>0.76</formula>
      <formula>0.95</formula>
    </cfRule>
    <cfRule type="cellIs" dxfId="11504" priority="16387" operator="between">
      <formula>0.51</formula>
      <formula>0.75</formula>
    </cfRule>
    <cfRule type="cellIs" dxfId="11503" priority="16388" operator="greaterThan">
      <formula>1</formula>
    </cfRule>
    <cfRule type="cellIs" dxfId="11502" priority="16389" operator="between">
      <formula>0.95</formula>
      <formula>1</formula>
    </cfRule>
    <cfRule type="cellIs" dxfId="11501" priority="16390" stopIfTrue="1" operator="between">
      <formula>0</formula>
      <formula>0.5</formula>
    </cfRule>
  </conditionalFormatting>
  <conditionalFormatting sqref="AG207">
    <cfRule type="cellIs" dxfId="11500" priority="16381" operator="between">
      <formula>0.76</formula>
      <formula>0.95</formula>
    </cfRule>
    <cfRule type="cellIs" dxfId="11499" priority="16382" operator="between">
      <formula>0.51</formula>
      <formula>0.75</formula>
    </cfRule>
    <cfRule type="cellIs" dxfId="11498" priority="16383" operator="greaterThan">
      <formula>1</formula>
    </cfRule>
    <cfRule type="cellIs" dxfId="11497" priority="16384" operator="between">
      <formula>0.95</formula>
      <formula>1</formula>
    </cfRule>
    <cfRule type="cellIs" dxfId="11496" priority="16385" stopIfTrue="1" operator="between">
      <formula>0</formula>
      <formula>0.5</formula>
    </cfRule>
  </conditionalFormatting>
  <conditionalFormatting sqref="AI207">
    <cfRule type="cellIs" dxfId="11495" priority="16376" operator="between">
      <formula>0.76</formula>
      <formula>0.95</formula>
    </cfRule>
    <cfRule type="cellIs" dxfId="11494" priority="16377" operator="between">
      <formula>0.51</formula>
      <formula>0.75</formula>
    </cfRule>
    <cfRule type="cellIs" dxfId="11493" priority="16378" operator="greaterThan">
      <formula>1</formula>
    </cfRule>
    <cfRule type="cellIs" dxfId="11492" priority="16379" operator="between">
      <formula>0.95</formula>
      <formula>1</formula>
    </cfRule>
    <cfRule type="cellIs" dxfId="11491" priority="16380" stopIfTrue="1" operator="between">
      <formula>0</formula>
      <formula>0.5</formula>
    </cfRule>
  </conditionalFormatting>
  <conditionalFormatting sqref="AA207">
    <cfRule type="cellIs" dxfId="11490" priority="16371" operator="between">
      <formula>0.56251</formula>
      <formula>0.7125</formula>
    </cfRule>
    <cfRule type="cellIs" dxfId="11489" priority="16372" operator="between">
      <formula>0.3751</formula>
      <formula>0.5625</formula>
    </cfRule>
    <cfRule type="cellIs" dxfId="11488" priority="16373" operator="greaterThan">
      <formula>0.751</formula>
    </cfRule>
    <cfRule type="cellIs" dxfId="11487" priority="16374" operator="between">
      <formula>0.71251</formula>
      <formula>0.75</formula>
    </cfRule>
    <cfRule type="cellIs" dxfId="11486" priority="16375" stopIfTrue="1" operator="between">
      <formula>0</formula>
      <formula>0.375</formula>
    </cfRule>
  </conditionalFormatting>
  <conditionalFormatting sqref="AC207">
    <cfRule type="cellIs" dxfId="11485" priority="16366" operator="between">
      <formula>0.56251</formula>
      <formula>0.7125</formula>
    </cfRule>
    <cfRule type="cellIs" dxfId="11484" priority="16367" operator="between">
      <formula>0.3751</formula>
      <formula>0.5625</formula>
    </cfRule>
    <cfRule type="cellIs" dxfId="11483" priority="16368" operator="greaterThan">
      <formula>0.751</formula>
    </cfRule>
    <cfRule type="cellIs" dxfId="11482" priority="16369" operator="between">
      <formula>0.71251</formula>
      <formula>0.75</formula>
    </cfRule>
    <cfRule type="cellIs" dxfId="11481" priority="16370" stopIfTrue="1" operator="between">
      <formula>0</formula>
      <formula>0.375</formula>
    </cfRule>
  </conditionalFormatting>
  <conditionalFormatting sqref="AB207">
    <cfRule type="cellIs" dxfId="11480" priority="16361" operator="between">
      <formula>0.56251</formula>
      <formula>0.7125</formula>
    </cfRule>
    <cfRule type="cellIs" dxfId="11479" priority="16362" operator="between">
      <formula>0.3751</formula>
      <formula>0.5625</formula>
    </cfRule>
    <cfRule type="cellIs" dxfId="11478" priority="16363" operator="greaterThan">
      <formula>0.751</formula>
    </cfRule>
    <cfRule type="cellIs" dxfId="11477" priority="16364" operator="between">
      <formula>0.71251</formula>
      <formula>0.75</formula>
    </cfRule>
    <cfRule type="cellIs" dxfId="11476" priority="16365" stopIfTrue="1" operator="between">
      <formula>0</formula>
      <formula>0.375</formula>
    </cfRule>
  </conditionalFormatting>
  <conditionalFormatting sqref="S208">
    <cfRule type="cellIs" dxfId="11475" priority="16334" operator="between">
      <formula>0.76</formula>
      <formula>0.95</formula>
    </cfRule>
    <cfRule type="cellIs" dxfId="11474" priority="16335" operator="between">
      <formula>0.51</formula>
      <formula>0.75</formula>
    </cfRule>
    <cfRule type="cellIs" dxfId="11473" priority="16336" operator="greaterThan">
      <formula>1</formula>
    </cfRule>
    <cfRule type="cellIs" dxfId="11472" priority="16337" operator="between">
      <formula>0.95</formula>
      <formula>1</formula>
    </cfRule>
    <cfRule type="cellIs" dxfId="11471" priority="16338" stopIfTrue="1" operator="between">
      <formula>0</formula>
      <formula>0.5</formula>
    </cfRule>
  </conditionalFormatting>
  <conditionalFormatting sqref="R208">
    <cfRule type="cellIs" dxfId="11470" priority="16329" operator="between">
      <formula>0.76</formula>
      <formula>0.95</formula>
    </cfRule>
    <cfRule type="cellIs" dxfId="11469" priority="16330" operator="between">
      <formula>0.51</formula>
      <formula>0.75</formula>
    </cfRule>
    <cfRule type="cellIs" dxfId="11468" priority="16331" operator="greaterThan">
      <formula>1</formula>
    </cfRule>
    <cfRule type="cellIs" dxfId="11467" priority="16332" operator="between">
      <formula>0.95</formula>
      <formula>1</formula>
    </cfRule>
    <cfRule type="cellIs" dxfId="11466" priority="16333" stopIfTrue="1" operator="between">
      <formula>0</formula>
      <formula>0.5</formula>
    </cfRule>
  </conditionalFormatting>
  <conditionalFormatting sqref="Y208">
    <cfRule type="cellIs" dxfId="11465" priority="16324" operator="between">
      <formula>0.76</formula>
      <formula>0.95</formula>
    </cfRule>
    <cfRule type="cellIs" dxfId="11464" priority="16325" operator="between">
      <formula>0.51</formula>
      <formula>0.75</formula>
    </cfRule>
    <cfRule type="cellIs" dxfId="11463" priority="16326" operator="greaterThan">
      <formula>1</formula>
    </cfRule>
    <cfRule type="cellIs" dxfId="11462" priority="16327" operator="between">
      <formula>0.95</formula>
      <formula>1</formula>
    </cfRule>
    <cfRule type="cellIs" dxfId="11461" priority="16328" stopIfTrue="1" operator="between">
      <formula>0</formula>
      <formula>0.5</formula>
    </cfRule>
  </conditionalFormatting>
  <conditionalFormatting sqref="AF208">
    <cfRule type="cellIs" dxfId="11460" priority="16319" operator="between">
      <formula>0.76</formula>
      <formula>0.95</formula>
    </cfRule>
    <cfRule type="cellIs" dxfId="11459" priority="16320" operator="between">
      <formula>0.51</formula>
      <formula>0.75</formula>
    </cfRule>
    <cfRule type="cellIs" dxfId="11458" priority="16321" operator="greaterThan">
      <formula>1</formula>
    </cfRule>
    <cfRule type="cellIs" dxfId="11457" priority="16322" operator="between">
      <formula>0.95</formula>
      <formula>1</formula>
    </cfRule>
    <cfRule type="cellIs" dxfId="11456" priority="16323" stopIfTrue="1" operator="between">
      <formula>0</formula>
      <formula>0.5</formula>
    </cfRule>
  </conditionalFormatting>
  <conditionalFormatting sqref="AH208">
    <cfRule type="cellIs" dxfId="11455" priority="16314" operator="between">
      <formula>0.76</formula>
      <formula>0.95</formula>
    </cfRule>
    <cfRule type="cellIs" dxfId="11454" priority="16315" operator="between">
      <formula>0.51</formula>
      <formula>0.75</formula>
    </cfRule>
    <cfRule type="cellIs" dxfId="11453" priority="16316" operator="greaterThan">
      <formula>1</formula>
    </cfRule>
    <cfRule type="cellIs" dxfId="11452" priority="16317" operator="between">
      <formula>0.95</formula>
      <formula>1</formula>
    </cfRule>
    <cfRule type="cellIs" dxfId="11451" priority="16318" stopIfTrue="1" operator="between">
      <formula>0</formula>
      <formula>0.5</formula>
    </cfRule>
  </conditionalFormatting>
  <conditionalFormatting sqref="T208">
    <cfRule type="cellIs" dxfId="11450" priority="16299" operator="between">
      <formula>0.3751</formula>
      <formula>0.475</formula>
    </cfRule>
    <cfRule type="cellIs" dxfId="11449" priority="16300" operator="between">
      <formula>0.2551</formula>
      <formula>0.375</formula>
    </cfRule>
    <cfRule type="cellIs" dxfId="11448" priority="16301" operator="greaterThan">
      <formula>0.505</formula>
    </cfRule>
    <cfRule type="cellIs" dxfId="11447" priority="16302" operator="between">
      <formula>0.48</formula>
      <formula>0.5</formula>
    </cfRule>
    <cfRule type="cellIs" dxfId="11446" priority="16303" stopIfTrue="1" operator="between">
      <formula>0</formula>
      <formula>0.255</formula>
    </cfRule>
  </conditionalFormatting>
  <conditionalFormatting sqref="U208:V208">
    <cfRule type="cellIs" dxfId="11445" priority="16294" operator="between">
      <formula>0.376</formula>
      <formula>0.475</formula>
    </cfRule>
    <cfRule type="cellIs" dxfId="11444" priority="16295" operator="between">
      <formula>0.2551</formula>
      <formula>0.3751</formula>
    </cfRule>
    <cfRule type="cellIs" dxfId="11443" priority="16296" operator="greaterThan">
      <formula>0.505</formula>
    </cfRule>
    <cfRule type="cellIs" dxfId="11442" priority="16297" operator="between">
      <formula>0.48</formula>
      <formula>0.5</formula>
    </cfRule>
    <cfRule type="cellIs" dxfId="11441" priority="16298" stopIfTrue="1" operator="between">
      <formula>0</formula>
      <formula>0.255</formula>
    </cfRule>
  </conditionalFormatting>
  <conditionalFormatting sqref="Z208">
    <cfRule type="cellIs" dxfId="11440" priority="16289" operator="between">
      <formula>0.76</formula>
      <formula>0.95</formula>
    </cfRule>
    <cfRule type="cellIs" dxfId="11439" priority="16290" operator="between">
      <formula>0.51</formula>
      <formula>0.75</formula>
    </cfRule>
    <cfRule type="cellIs" dxfId="11438" priority="16291" operator="greaterThan">
      <formula>1</formula>
    </cfRule>
    <cfRule type="cellIs" dxfId="11437" priority="16292" operator="between">
      <formula>0.95</formula>
      <formula>1</formula>
    </cfRule>
    <cfRule type="cellIs" dxfId="11436" priority="16293" stopIfTrue="1" operator="between">
      <formula>0</formula>
      <formula>0.5</formula>
    </cfRule>
  </conditionalFormatting>
  <conditionalFormatting sqref="AG208">
    <cfRule type="cellIs" dxfId="11435" priority="16284" operator="between">
      <formula>0.76</formula>
      <formula>0.95</formula>
    </cfRule>
    <cfRule type="cellIs" dxfId="11434" priority="16285" operator="between">
      <formula>0.51</formula>
      <formula>0.75</formula>
    </cfRule>
    <cfRule type="cellIs" dxfId="11433" priority="16286" operator="greaterThan">
      <formula>1</formula>
    </cfRule>
    <cfRule type="cellIs" dxfId="11432" priority="16287" operator="between">
      <formula>0.95</formula>
      <formula>1</formula>
    </cfRule>
    <cfRule type="cellIs" dxfId="11431" priority="16288" stopIfTrue="1" operator="between">
      <formula>0</formula>
      <formula>0.5</formula>
    </cfRule>
  </conditionalFormatting>
  <conditionalFormatting sqref="AI208">
    <cfRule type="cellIs" dxfId="11430" priority="16279" operator="between">
      <formula>0.76</formula>
      <formula>0.95</formula>
    </cfRule>
    <cfRule type="cellIs" dxfId="11429" priority="16280" operator="between">
      <formula>0.51</formula>
      <formula>0.75</formula>
    </cfRule>
    <cfRule type="cellIs" dxfId="11428" priority="16281" operator="greaterThan">
      <formula>1</formula>
    </cfRule>
    <cfRule type="cellIs" dxfId="11427" priority="16282" operator="between">
      <formula>0.95</formula>
      <formula>1</formula>
    </cfRule>
    <cfRule type="cellIs" dxfId="11426" priority="16283" stopIfTrue="1" operator="between">
      <formula>0</formula>
      <formula>0.5</formula>
    </cfRule>
  </conditionalFormatting>
  <conditionalFormatting sqref="AA208">
    <cfRule type="cellIs" dxfId="11425" priority="16274" operator="between">
      <formula>0.56251</formula>
      <formula>0.7125</formula>
    </cfRule>
    <cfRule type="cellIs" dxfId="11424" priority="16275" operator="between">
      <formula>0.3751</formula>
      <formula>0.5625</formula>
    </cfRule>
    <cfRule type="cellIs" dxfId="11423" priority="16276" operator="greaterThan">
      <formula>0.751</formula>
    </cfRule>
    <cfRule type="cellIs" dxfId="11422" priority="16277" operator="between">
      <formula>0.71251</formula>
      <formula>0.75</formula>
    </cfRule>
    <cfRule type="cellIs" dxfId="11421" priority="16278" stopIfTrue="1" operator="between">
      <formula>0</formula>
      <formula>0.375</formula>
    </cfRule>
  </conditionalFormatting>
  <conditionalFormatting sqref="AC208">
    <cfRule type="cellIs" dxfId="11420" priority="16269" operator="between">
      <formula>0.56251</formula>
      <formula>0.7125</formula>
    </cfRule>
    <cfRule type="cellIs" dxfId="11419" priority="16270" operator="between">
      <formula>0.3751</formula>
      <formula>0.5625</formula>
    </cfRule>
    <cfRule type="cellIs" dxfId="11418" priority="16271" operator="greaterThan">
      <formula>0.751</formula>
    </cfRule>
    <cfRule type="cellIs" dxfId="11417" priority="16272" operator="between">
      <formula>0.71251</formula>
      <formula>0.75</formula>
    </cfRule>
    <cfRule type="cellIs" dxfId="11416" priority="16273" stopIfTrue="1" operator="between">
      <formula>0</formula>
      <formula>0.375</formula>
    </cfRule>
  </conditionalFormatting>
  <conditionalFormatting sqref="AB208">
    <cfRule type="cellIs" dxfId="11415" priority="16264" operator="between">
      <formula>0.56251</formula>
      <formula>0.7125</formula>
    </cfRule>
    <cfRule type="cellIs" dxfId="11414" priority="16265" operator="between">
      <formula>0.3751</formula>
      <formula>0.5625</formula>
    </cfRule>
    <cfRule type="cellIs" dxfId="11413" priority="16266" operator="greaterThan">
      <formula>0.751</formula>
    </cfRule>
    <cfRule type="cellIs" dxfId="11412" priority="16267" operator="between">
      <formula>0.71251</formula>
      <formula>0.75</formula>
    </cfRule>
    <cfRule type="cellIs" dxfId="11411" priority="16268" stopIfTrue="1" operator="between">
      <formula>0</formula>
      <formula>0.375</formula>
    </cfRule>
  </conditionalFormatting>
  <conditionalFormatting sqref="S209">
    <cfRule type="cellIs" dxfId="11410" priority="16237" operator="between">
      <formula>0.76</formula>
      <formula>0.95</formula>
    </cfRule>
    <cfRule type="cellIs" dxfId="11409" priority="16238" operator="between">
      <formula>0.51</formula>
      <formula>0.75</formula>
    </cfRule>
    <cfRule type="cellIs" dxfId="11408" priority="16239" operator="greaterThan">
      <formula>1</formula>
    </cfRule>
    <cfRule type="cellIs" dxfId="11407" priority="16240" operator="between">
      <formula>0.95</formula>
      <formula>1</formula>
    </cfRule>
    <cfRule type="cellIs" dxfId="11406" priority="16241" stopIfTrue="1" operator="between">
      <formula>0</formula>
      <formula>0.5</formula>
    </cfRule>
  </conditionalFormatting>
  <conditionalFormatting sqref="R209">
    <cfRule type="cellIs" dxfId="11405" priority="16232" operator="between">
      <formula>0.76</formula>
      <formula>0.95</formula>
    </cfRule>
    <cfRule type="cellIs" dxfId="11404" priority="16233" operator="between">
      <formula>0.51</formula>
      <formula>0.75</formula>
    </cfRule>
    <cfRule type="cellIs" dxfId="11403" priority="16234" operator="greaterThan">
      <formula>1</formula>
    </cfRule>
    <cfRule type="cellIs" dxfId="11402" priority="16235" operator="between">
      <formula>0.95</formula>
      <formula>1</formula>
    </cfRule>
    <cfRule type="cellIs" dxfId="11401" priority="16236" stopIfTrue="1" operator="between">
      <formula>0</formula>
      <formula>0.5</formula>
    </cfRule>
  </conditionalFormatting>
  <conditionalFormatting sqref="Y209">
    <cfRule type="cellIs" dxfId="11400" priority="16227" operator="between">
      <formula>0.76</formula>
      <formula>0.95</formula>
    </cfRule>
    <cfRule type="cellIs" dxfId="11399" priority="16228" operator="between">
      <formula>0.51</formula>
      <formula>0.75</formula>
    </cfRule>
    <cfRule type="cellIs" dxfId="11398" priority="16229" operator="greaterThan">
      <formula>1</formula>
    </cfRule>
    <cfRule type="cellIs" dxfId="11397" priority="16230" operator="between">
      <formula>0.95</formula>
      <formula>1</formula>
    </cfRule>
    <cfRule type="cellIs" dxfId="11396" priority="16231" stopIfTrue="1" operator="between">
      <formula>0</formula>
      <formula>0.5</formula>
    </cfRule>
  </conditionalFormatting>
  <conditionalFormatting sqref="AF209">
    <cfRule type="cellIs" dxfId="11395" priority="16222" operator="between">
      <formula>0.76</formula>
      <formula>0.95</formula>
    </cfRule>
    <cfRule type="cellIs" dxfId="11394" priority="16223" operator="between">
      <formula>0.51</formula>
      <formula>0.75</formula>
    </cfRule>
    <cfRule type="cellIs" dxfId="11393" priority="16224" operator="greaterThan">
      <formula>1</formula>
    </cfRule>
    <cfRule type="cellIs" dxfId="11392" priority="16225" operator="between">
      <formula>0.95</formula>
      <formula>1</formula>
    </cfRule>
    <cfRule type="cellIs" dxfId="11391" priority="16226" stopIfTrue="1" operator="between">
      <formula>0</formula>
      <formula>0.5</formula>
    </cfRule>
  </conditionalFormatting>
  <conditionalFormatting sqref="AH209">
    <cfRule type="cellIs" dxfId="11390" priority="16217" operator="between">
      <formula>0.76</formula>
      <formula>0.95</formula>
    </cfRule>
    <cfRule type="cellIs" dxfId="11389" priority="16218" operator="between">
      <formula>0.51</formula>
      <formula>0.75</formula>
    </cfRule>
    <cfRule type="cellIs" dxfId="11388" priority="16219" operator="greaterThan">
      <formula>1</formula>
    </cfRule>
    <cfRule type="cellIs" dxfId="11387" priority="16220" operator="between">
      <formula>0.95</formula>
      <formula>1</formula>
    </cfRule>
    <cfRule type="cellIs" dxfId="11386" priority="16221" stopIfTrue="1" operator="between">
      <formula>0</formula>
      <formula>0.5</formula>
    </cfRule>
  </conditionalFormatting>
  <conditionalFormatting sqref="T209">
    <cfRule type="cellIs" dxfId="11385" priority="16202" operator="between">
      <formula>0.3751</formula>
      <formula>0.475</formula>
    </cfRule>
    <cfRule type="cellIs" dxfId="11384" priority="16203" operator="between">
      <formula>0.2551</formula>
      <formula>0.375</formula>
    </cfRule>
    <cfRule type="cellIs" dxfId="11383" priority="16204" operator="greaterThan">
      <formula>0.505</formula>
    </cfRule>
    <cfRule type="cellIs" dxfId="11382" priority="16205" operator="between">
      <formula>0.48</formula>
      <formula>0.5</formula>
    </cfRule>
    <cfRule type="cellIs" dxfId="11381" priority="16206" stopIfTrue="1" operator="between">
      <formula>0</formula>
      <formula>0.255</formula>
    </cfRule>
  </conditionalFormatting>
  <conditionalFormatting sqref="U209:V209">
    <cfRule type="cellIs" dxfId="11380" priority="16197" operator="between">
      <formula>0.376</formula>
      <formula>0.475</formula>
    </cfRule>
    <cfRule type="cellIs" dxfId="11379" priority="16198" operator="between">
      <formula>0.2551</formula>
      <formula>0.3751</formula>
    </cfRule>
    <cfRule type="cellIs" dxfId="11378" priority="16199" operator="greaterThan">
      <formula>0.505</formula>
    </cfRule>
    <cfRule type="cellIs" dxfId="11377" priority="16200" operator="between">
      <formula>0.48</formula>
      <formula>0.5</formula>
    </cfRule>
    <cfRule type="cellIs" dxfId="11376" priority="16201" stopIfTrue="1" operator="between">
      <formula>0</formula>
      <formula>0.255</formula>
    </cfRule>
  </conditionalFormatting>
  <conditionalFormatting sqref="Z209">
    <cfRule type="cellIs" dxfId="11375" priority="16192" operator="between">
      <formula>0.76</formula>
      <formula>0.95</formula>
    </cfRule>
    <cfRule type="cellIs" dxfId="11374" priority="16193" operator="between">
      <formula>0.51</formula>
      <formula>0.75</formula>
    </cfRule>
    <cfRule type="cellIs" dxfId="11373" priority="16194" operator="greaterThan">
      <formula>1</formula>
    </cfRule>
    <cfRule type="cellIs" dxfId="11372" priority="16195" operator="between">
      <formula>0.95</formula>
      <formula>1</formula>
    </cfRule>
    <cfRule type="cellIs" dxfId="11371" priority="16196" stopIfTrue="1" operator="between">
      <formula>0</formula>
      <formula>0.5</formula>
    </cfRule>
  </conditionalFormatting>
  <conditionalFormatting sqref="AG209">
    <cfRule type="cellIs" dxfId="11370" priority="16187" operator="between">
      <formula>0.76</formula>
      <formula>0.95</formula>
    </cfRule>
    <cfRule type="cellIs" dxfId="11369" priority="16188" operator="between">
      <formula>0.51</formula>
      <formula>0.75</formula>
    </cfRule>
    <cfRule type="cellIs" dxfId="11368" priority="16189" operator="greaterThan">
      <formula>1</formula>
    </cfRule>
    <cfRule type="cellIs" dxfId="11367" priority="16190" operator="between">
      <formula>0.95</formula>
      <formula>1</formula>
    </cfRule>
    <cfRule type="cellIs" dxfId="11366" priority="16191" stopIfTrue="1" operator="between">
      <formula>0</formula>
      <formula>0.5</formula>
    </cfRule>
  </conditionalFormatting>
  <conditionalFormatting sqref="AI209">
    <cfRule type="cellIs" dxfId="11365" priority="16182" operator="between">
      <formula>0.76</formula>
      <formula>0.95</formula>
    </cfRule>
    <cfRule type="cellIs" dxfId="11364" priority="16183" operator="between">
      <formula>0.51</formula>
      <formula>0.75</formula>
    </cfRule>
    <cfRule type="cellIs" dxfId="11363" priority="16184" operator="greaterThan">
      <formula>1</formula>
    </cfRule>
    <cfRule type="cellIs" dxfId="11362" priority="16185" operator="between">
      <formula>0.95</formula>
      <formula>1</formula>
    </cfRule>
    <cfRule type="cellIs" dxfId="11361" priority="16186" stopIfTrue="1" operator="between">
      <formula>0</formula>
      <formula>0.5</formula>
    </cfRule>
  </conditionalFormatting>
  <conditionalFormatting sqref="AA209">
    <cfRule type="cellIs" dxfId="11360" priority="16177" operator="between">
      <formula>0.56251</formula>
      <formula>0.7125</formula>
    </cfRule>
    <cfRule type="cellIs" dxfId="11359" priority="16178" operator="between">
      <formula>0.3751</formula>
      <formula>0.5625</formula>
    </cfRule>
    <cfRule type="cellIs" dxfId="11358" priority="16179" operator="greaterThan">
      <formula>0.751</formula>
    </cfRule>
    <cfRule type="cellIs" dxfId="11357" priority="16180" operator="between">
      <formula>0.71251</formula>
      <formula>0.75</formula>
    </cfRule>
    <cfRule type="cellIs" dxfId="11356" priority="16181" stopIfTrue="1" operator="between">
      <formula>0</formula>
      <formula>0.375</formula>
    </cfRule>
  </conditionalFormatting>
  <conditionalFormatting sqref="AC209">
    <cfRule type="cellIs" dxfId="11355" priority="16172" operator="between">
      <formula>0.56251</formula>
      <formula>0.7125</formula>
    </cfRule>
    <cfRule type="cellIs" dxfId="11354" priority="16173" operator="between">
      <formula>0.3751</formula>
      <formula>0.5625</formula>
    </cfRule>
    <cfRule type="cellIs" dxfId="11353" priority="16174" operator="greaterThan">
      <formula>0.751</formula>
    </cfRule>
    <cfRule type="cellIs" dxfId="11352" priority="16175" operator="between">
      <formula>0.71251</formula>
      <formula>0.75</formula>
    </cfRule>
    <cfRule type="cellIs" dxfId="11351" priority="16176" stopIfTrue="1" operator="between">
      <formula>0</formula>
      <formula>0.375</formula>
    </cfRule>
  </conditionalFormatting>
  <conditionalFormatting sqref="AB209">
    <cfRule type="cellIs" dxfId="11350" priority="16167" operator="between">
      <formula>0.56251</formula>
      <formula>0.7125</formula>
    </cfRule>
    <cfRule type="cellIs" dxfId="11349" priority="16168" operator="between">
      <formula>0.3751</formula>
      <formula>0.5625</formula>
    </cfRule>
    <cfRule type="cellIs" dxfId="11348" priority="16169" operator="greaterThan">
      <formula>0.751</formula>
    </cfRule>
    <cfRule type="cellIs" dxfId="11347" priority="16170" operator="between">
      <formula>0.71251</formula>
      <formula>0.75</formula>
    </cfRule>
    <cfRule type="cellIs" dxfId="11346" priority="16171" stopIfTrue="1" operator="between">
      <formula>0</formula>
      <formula>0.375</formula>
    </cfRule>
  </conditionalFormatting>
  <conditionalFormatting sqref="AG151 AI151 S151 Z151">
    <cfRule type="cellIs" dxfId="11345" priority="16140" operator="between">
      <formula>0.76</formula>
      <formula>0.95</formula>
    </cfRule>
    <cfRule type="cellIs" dxfId="11344" priority="16141" operator="between">
      <formula>0.51</formula>
      <formula>0.75</formula>
    </cfRule>
    <cfRule type="cellIs" dxfId="11343" priority="16142" operator="greaterThan">
      <formula>1</formula>
    </cfRule>
    <cfRule type="cellIs" dxfId="11342" priority="16143" operator="between">
      <formula>0.95</formula>
      <formula>1</formula>
    </cfRule>
    <cfRule type="cellIs" dxfId="11341" priority="16144" stopIfTrue="1" operator="between">
      <formula>0</formula>
      <formula>0.5</formula>
    </cfRule>
  </conditionalFormatting>
  <conditionalFormatting sqref="R151">
    <cfRule type="cellIs" dxfId="11340" priority="16130" operator="between">
      <formula>0.76</formula>
      <formula>0.95</formula>
    </cfRule>
    <cfRule type="cellIs" dxfId="11339" priority="16131" operator="between">
      <formula>0.51</formula>
      <formula>0.75</formula>
    </cfRule>
    <cfRule type="cellIs" dxfId="11338" priority="16132" operator="greaterThan">
      <formula>1</formula>
    </cfRule>
    <cfRule type="cellIs" dxfId="11337" priority="16133" operator="between">
      <formula>0.95</formula>
      <formula>1</formula>
    </cfRule>
    <cfRule type="cellIs" dxfId="11336" priority="16134" stopIfTrue="1" operator="between">
      <formula>0</formula>
      <formula>0.5</formula>
    </cfRule>
  </conditionalFormatting>
  <conditionalFormatting sqref="Y151">
    <cfRule type="cellIs" dxfId="11335" priority="16125" operator="between">
      <formula>0.76</formula>
      <formula>0.95</formula>
    </cfRule>
    <cfRule type="cellIs" dxfId="11334" priority="16126" operator="between">
      <formula>0.51</formula>
      <formula>0.75</formula>
    </cfRule>
    <cfRule type="cellIs" dxfId="11333" priority="16127" operator="greaterThan">
      <formula>1</formula>
    </cfRule>
    <cfRule type="cellIs" dxfId="11332" priority="16128" operator="between">
      <formula>0.95</formula>
      <formula>1</formula>
    </cfRule>
    <cfRule type="cellIs" dxfId="11331" priority="16129" stopIfTrue="1" operator="between">
      <formula>0</formula>
      <formula>0.5</formula>
    </cfRule>
  </conditionalFormatting>
  <conditionalFormatting sqref="AF151">
    <cfRule type="cellIs" dxfId="11330" priority="16120" operator="between">
      <formula>0.76</formula>
      <formula>0.95</formula>
    </cfRule>
    <cfRule type="cellIs" dxfId="11329" priority="16121" operator="between">
      <formula>0.51</formula>
      <formula>0.75</formula>
    </cfRule>
    <cfRule type="cellIs" dxfId="11328" priority="16122" operator="greaterThan">
      <formula>1</formula>
    </cfRule>
    <cfRule type="cellIs" dxfId="11327" priority="16123" operator="between">
      <formula>0.95</formula>
      <formula>1</formula>
    </cfRule>
    <cfRule type="cellIs" dxfId="11326" priority="16124" stopIfTrue="1" operator="between">
      <formula>0</formula>
      <formula>0.5</formula>
    </cfRule>
  </conditionalFormatting>
  <conditionalFormatting sqref="AH151">
    <cfRule type="cellIs" dxfId="11325" priority="16115" operator="between">
      <formula>0.76</formula>
      <formula>0.95</formula>
    </cfRule>
    <cfRule type="cellIs" dxfId="11324" priority="16116" operator="between">
      <formula>0.51</formula>
      <formula>0.75</formula>
    </cfRule>
    <cfRule type="cellIs" dxfId="11323" priority="16117" operator="greaterThan">
      <formula>1</formula>
    </cfRule>
    <cfRule type="cellIs" dxfId="11322" priority="16118" operator="between">
      <formula>0.95</formula>
      <formula>1</formula>
    </cfRule>
    <cfRule type="cellIs" dxfId="11321" priority="16119" stopIfTrue="1" operator="between">
      <formula>0</formula>
      <formula>0.5</formula>
    </cfRule>
  </conditionalFormatting>
  <conditionalFormatting sqref="T151">
    <cfRule type="cellIs" dxfId="11320" priority="16100" operator="between">
      <formula>0.3751</formula>
      <formula>0.475</formula>
    </cfRule>
    <cfRule type="cellIs" dxfId="11319" priority="16101" operator="between">
      <formula>0.2551</formula>
      <formula>0.375</formula>
    </cfRule>
    <cfRule type="cellIs" dxfId="11318" priority="16102" operator="greaterThan">
      <formula>0.505</formula>
    </cfRule>
    <cfRule type="cellIs" dxfId="11317" priority="16103" operator="between">
      <formula>0.48</formula>
      <formula>0.5</formula>
    </cfRule>
    <cfRule type="cellIs" dxfId="11316" priority="16104" stopIfTrue="1" operator="between">
      <formula>0</formula>
      <formula>0.255</formula>
    </cfRule>
  </conditionalFormatting>
  <conditionalFormatting sqref="U151:V151">
    <cfRule type="cellIs" dxfId="11315" priority="16095" operator="between">
      <formula>0.376</formula>
      <formula>0.475</formula>
    </cfRule>
    <cfRule type="cellIs" dxfId="11314" priority="16096" operator="between">
      <formula>0.2551</formula>
      <formula>0.3751</formula>
    </cfRule>
    <cfRule type="cellIs" dxfId="11313" priority="16097" operator="greaterThan">
      <formula>0.505</formula>
    </cfRule>
    <cfRule type="cellIs" dxfId="11312" priority="16098" operator="between">
      <formula>0.48</formula>
      <formula>0.5</formula>
    </cfRule>
    <cfRule type="cellIs" dxfId="11311" priority="16099" stopIfTrue="1" operator="between">
      <formula>0</formula>
      <formula>0.255</formula>
    </cfRule>
  </conditionalFormatting>
  <conditionalFormatting sqref="AA151">
    <cfRule type="cellIs" dxfId="11310" priority="16090" operator="between">
      <formula>0.56251</formula>
      <formula>0.7125</formula>
    </cfRule>
    <cfRule type="cellIs" dxfId="11309" priority="16091" operator="between">
      <formula>0.3751</formula>
      <formula>0.5625</formula>
    </cfRule>
    <cfRule type="cellIs" dxfId="11308" priority="16092" operator="greaterThan">
      <formula>0.751</formula>
    </cfRule>
    <cfRule type="cellIs" dxfId="11307" priority="16093" operator="between">
      <formula>0.71251</formula>
      <formula>0.75</formula>
    </cfRule>
    <cfRule type="cellIs" dxfId="11306" priority="16094" stopIfTrue="1" operator="between">
      <formula>0</formula>
      <formula>0.375</formula>
    </cfRule>
  </conditionalFormatting>
  <conditionalFormatting sqref="AC151">
    <cfRule type="cellIs" dxfId="11305" priority="16085" operator="between">
      <formula>0.56251</formula>
      <formula>0.7125</formula>
    </cfRule>
    <cfRule type="cellIs" dxfId="11304" priority="16086" operator="between">
      <formula>0.3751</formula>
      <formula>0.5625</formula>
    </cfRule>
    <cfRule type="cellIs" dxfId="11303" priority="16087" operator="greaterThan">
      <formula>0.751</formula>
    </cfRule>
    <cfRule type="cellIs" dxfId="11302" priority="16088" operator="between">
      <formula>0.71251</formula>
      <formula>0.75</formula>
    </cfRule>
    <cfRule type="cellIs" dxfId="11301" priority="16089" stopIfTrue="1" operator="between">
      <formula>0</formula>
      <formula>0.375</formula>
    </cfRule>
  </conditionalFormatting>
  <conditionalFormatting sqref="AB151">
    <cfRule type="cellIs" dxfId="11300" priority="16080" operator="between">
      <formula>0.56251</formula>
      <formula>0.7125</formula>
    </cfRule>
    <cfRule type="cellIs" dxfId="11299" priority="16081" operator="between">
      <formula>0.3751</formula>
      <formula>0.5625</formula>
    </cfRule>
    <cfRule type="cellIs" dxfId="11298" priority="16082" operator="greaterThan">
      <formula>0.751</formula>
    </cfRule>
    <cfRule type="cellIs" dxfId="11297" priority="16083" operator="between">
      <formula>0.71251</formula>
      <formula>0.75</formula>
    </cfRule>
    <cfRule type="cellIs" dxfId="11296" priority="16084" stopIfTrue="1" operator="between">
      <formula>0</formula>
      <formula>0.375</formula>
    </cfRule>
  </conditionalFormatting>
  <conditionalFormatting sqref="AG305 AI305 S305 Z305">
    <cfRule type="cellIs" dxfId="11295" priority="16058" operator="between">
      <formula>0.76</formula>
      <formula>0.95</formula>
    </cfRule>
    <cfRule type="cellIs" dxfId="11294" priority="16059" operator="between">
      <formula>0.51</formula>
      <formula>0.75</formula>
    </cfRule>
    <cfRule type="cellIs" dxfId="11293" priority="16060" operator="greaterThan">
      <formula>1</formula>
    </cfRule>
    <cfRule type="cellIs" dxfId="11292" priority="16061" operator="between">
      <formula>0.95</formula>
      <formula>1</formula>
    </cfRule>
    <cfRule type="cellIs" dxfId="11291" priority="16062" stopIfTrue="1" operator="between">
      <formula>0</formula>
      <formula>0.5</formula>
    </cfRule>
  </conditionalFormatting>
  <conditionalFormatting sqref="R305">
    <cfRule type="cellIs" dxfId="11290" priority="16048" operator="between">
      <formula>0.76</formula>
      <formula>0.95</formula>
    </cfRule>
    <cfRule type="cellIs" dxfId="11289" priority="16049" operator="between">
      <formula>0.51</formula>
      <formula>0.75</formula>
    </cfRule>
    <cfRule type="cellIs" dxfId="11288" priority="16050" operator="greaterThan">
      <formula>1</formula>
    </cfRule>
    <cfRule type="cellIs" dxfId="11287" priority="16051" operator="between">
      <formula>0.95</formula>
      <formula>1</formula>
    </cfRule>
    <cfRule type="cellIs" dxfId="11286" priority="16052" stopIfTrue="1" operator="between">
      <formula>0</formula>
      <formula>0.5</formula>
    </cfRule>
  </conditionalFormatting>
  <conditionalFormatting sqref="Y305">
    <cfRule type="cellIs" dxfId="11285" priority="16043" operator="between">
      <formula>0.76</formula>
      <formula>0.95</formula>
    </cfRule>
    <cfRule type="cellIs" dxfId="11284" priority="16044" operator="between">
      <formula>0.51</formula>
      <formula>0.75</formula>
    </cfRule>
    <cfRule type="cellIs" dxfId="11283" priority="16045" operator="greaterThan">
      <formula>1</formula>
    </cfRule>
    <cfRule type="cellIs" dxfId="11282" priority="16046" operator="between">
      <formula>0.95</formula>
      <formula>1</formula>
    </cfRule>
    <cfRule type="cellIs" dxfId="11281" priority="16047" stopIfTrue="1" operator="between">
      <formula>0</formula>
      <formula>0.5</formula>
    </cfRule>
  </conditionalFormatting>
  <conditionalFormatting sqref="AF305">
    <cfRule type="cellIs" dxfId="11280" priority="16038" operator="between">
      <formula>0.76</formula>
      <formula>0.95</formula>
    </cfRule>
    <cfRule type="cellIs" dxfId="11279" priority="16039" operator="between">
      <formula>0.51</formula>
      <formula>0.75</formula>
    </cfRule>
    <cfRule type="cellIs" dxfId="11278" priority="16040" operator="greaterThan">
      <formula>1</formula>
    </cfRule>
    <cfRule type="cellIs" dxfId="11277" priority="16041" operator="between">
      <formula>0.95</formula>
      <formula>1</formula>
    </cfRule>
    <cfRule type="cellIs" dxfId="11276" priority="16042" stopIfTrue="1" operator="between">
      <formula>0</formula>
      <formula>0.5</formula>
    </cfRule>
  </conditionalFormatting>
  <conditionalFormatting sqref="AH305">
    <cfRule type="cellIs" dxfId="11275" priority="16033" operator="between">
      <formula>0.76</formula>
      <formula>0.95</formula>
    </cfRule>
    <cfRule type="cellIs" dxfId="11274" priority="16034" operator="between">
      <formula>0.51</formula>
      <formula>0.75</formula>
    </cfRule>
    <cfRule type="cellIs" dxfId="11273" priority="16035" operator="greaterThan">
      <formula>1</formula>
    </cfRule>
    <cfRule type="cellIs" dxfId="11272" priority="16036" operator="between">
      <formula>0.95</formula>
      <formula>1</formula>
    </cfRule>
    <cfRule type="cellIs" dxfId="11271" priority="16037" stopIfTrue="1" operator="between">
      <formula>0</formula>
      <formula>0.5</formula>
    </cfRule>
  </conditionalFormatting>
  <conditionalFormatting sqref="T305">
    <cfRule type="cellIs" dxfId="11270" priority="16018" operator="between">
      <formula>0.3751</formula>
      <formula>0.475</formula>
    </cfRule>
    <cfRule type="cellIs" dxfId="11269" priority="16019" operator="between">
      <formula>0.2551</formula>
      <formula>0.375</formula>
    </cfRule>
    <cfRule type="cellIs" dxfId="11268" priority="16020" operator="greaterThan">
      <formula>0.505</formula>
    </cfRule>
    <cfRule type="cellIs" dxfId="11267" priority="16021" operator="between">
      <formula>0.48</formula>
      <formula>0.5</formula>
    </cfRule>
    <cfRule type="cellIs" dxfId="11266" priority="16022" stopIfTrue="1" operator="between">
      <formula>0</formula>
      <formula>0.255</formula>
    </cfRule>
  </conditionalFormatting>
  <conditionalFormatting sqref="U305:V305">
    <cfRule type="cellIs" dxfId="11265" priority="16013" operator="between">
      <formula>0.376</formula>
      <formula>0.475</formula>
    </cfRule>
    <cfRule type="cellIs" dxfId="11264" priority="16014" operator="between">
      <formula>0.2551</formula>
      <formula>0.3751</formula>
    </cfRule>
    <cfRule type="cellIs" dxfId="11263" priority="16015" operator="greaterThan">
      <formula>0.505</formula>
    </cfRule>
    <cfRule type="cellIs" dxfId="11262" priority="16016" operator="between">
      <formula>0.48</formula>
      <formula>0.5</formula>
    </cfRule>
    <cfRule type="cellIs" dxfId="11261" priority="16017" stopIfTrue="1" operator="between">
      <formula>0</formula>
      <formula>0.255</formula>
    </cfRule>
  </conditionalFormatting>
  <conditionalFormatting sqref="AA305">
    <cfRule type="cellIs" dxfId="11260" priority="16008" operator="between">
      <formula>0.56251</formula>
      <formula>0.7125</formula>
    </cfRule>
    <cfRule type="cellIs" dxfId="11259" priority="16009" operator="between">
      <formula>0.3751</formula>
      <formula>0.5625</formula>
    </cfRule>
    <cfRule type="cellIs" dxfId="11258" priority="16010" operator="greaterThan">
      <formula>0.751</formula>
    </cfRule>
    <cfRule type="cellIs" dxfId="11257" priority="16011" operator="between">
      <formula>0.71251</formula>
      <formula>0.75</formula>
    </cfRule>
    <cfRule type="cellIs" dxfId="11256" priority="16012" stopIfTrue="1" operator="between">
      <formula>0</formula>
      <formula>0.375</formula>
    </cfRule>
  </conditionalFormatting>
  <conditionalFormatting sqref="AC305">
    <cfRule type="cellIs" dxfId="11255" priority="16003" operator="between">
      <formula>0.56251</formula>
      <formula>0.7125</formula>
    </cfRule>
    <cfRule type="cellIs" dxfId="11254" priority="16004" operator="between">
      <formula>0.3751</formula>
      <formula>0.5625</formula>
    </cfRule>
    <cfRule type="cellIs" dxfId="11253" priority="16005" operator="greaterThan">
      <formula>0.751</formula>
    </cfRule>
    <cfRule type="cellIs" dxfId="11252" priority="16006" operator="between">
      <formula>0.71251</formula>
      <formula>0.75</formula>
    </cfRule>
    <cfRule type="cellIs" dxfId="11251" priority="16007" stopIfTrue="1" operator="between">
      <formula>0</formula>
      <formula>0.375</formula>
    </cfRule>
  </conditionalFormatting>
  <conditionalFormatting sqref="AB305">
    <cfRule type="cellIs" dxfId="11250" priority="15998" operator="between">
      <formula>0.56251</formula>
      <formula>0.7125</formula>
    </cfRule>
    <cfRule type="cellIs" dxfId="11249" priority="15999" operator="between">
      <formula>0.3751</formula>
      <formula>0.5625</formula>
    </cfRule>
    <cfRule type="cellIs" dxfId="11248" priority="16000" operator="greaterThan">
      <formula>0.751</formula>
    </cfRule>
    <cfRule type="cellIs" dxfId="11247" priority="16001" operator="between">
      <formula>0.71251</formula>
      <formula>0.75</formula>
    </cfRule>
    <cfRule type="cellIs" dxfId="11246" priority="16002" stopIfTrue="1" operator="between">
      <formula>0</formula>
      <formula>0.375</formula>
    </cfRule>
  </conditionalFormatting>
  <conditionalFormatting sqref="R210">
    <cfRule type="cellIs" dxfId="11245" priority="15966" operator="between">
      <formula>0.76</formula>
      <formula>0.95</formula>
    </cfRule>
    <cfRule type="cellIs" dxfId="11244" priority="15967" operator="between">
      <formula>0.51</formula>
      <formula>0.75</formula>
    </cfRule>
    <cfRule type="cellIs" dxfId="11243" priority="15968" operator="greaterThan">
      <formula>1</formula>
    </cfRule>
    <cfRule type="cellIs" dxfId="11242" priority="15969" operator="between">
      <formula>0.95</formula>
      <formula>1</formula>
    </cfRule>
    <cfRule type="cellIs" dxfId="11241" priority="15970" stopIfTrue="1" operator="between">
      <formula>0</formula>
      <formula>0.5</formula>
    </cfRule>
  </conditionalFormatting>
  <conditionalFormatting sqref="Y210">
    <cfRule type="cellIs" dxfId="11240" priority="15961" operator="between">
      <formula>0.76</formula>
      <formula>0.95</formula>
    </cfRule>
    <cfRule type="cellIs" dxfId="11239" priority="15962" operator="between">
      <formula>0.51</formula>
      <formula>0.75</formula>
    </cfRule>
    <cfRule type="cellIs" dxfId="11238" priority="15963" operator="greaterThan">
      <formula>1</formula>
    </cfRule>
    <cfRule type="cellIs" dxfId="11237" priority="15964" operator="between">
      <formula>0.95</formula>
      <formula>1</formula>
    </cfRule>
    <cfRule type="cellIs" dxfId="11236" priority="15965" stopIfTrue="1" operator="between">
      <formula>0</formula>
      <formula>0.5</formula>
    </cfRule>
  </conditionalFormatting>
  <conditionalFormatting sqref="AF210">
    <cfRule type="cellIs" dxfId="11235" priority="15956" operator="between">
      <formula>0.76</formula>
      <formula>0.95</formula>
    </cfRule>
    <cfRule type="cellIs" dxfId="11234" priority="15957" operator="between">
      <formula>0.51</formula>
      <formula>0.75</formula>
    </cfRule>
    <cfRule type="cellIs" dxfId="11233" priority="15958" operator="greaterThan">
      <formula>1</formula>
    </cfRule>
    <cfRule type="cellIs" dxfId="11232" priority="15959" operator="between">
      <formula>0.95</formula>
      <formula>1</formula>
    </cfRule>
    <cfRule type="cellIs" dxfId="11231" priority="15960" stopIfTrue="1" operator="between">
      <formula>0</formula>
      <formula>0.5</formula>
    </cfRule>
  </conditionalFormatting>
  <conditionalFormatting sqref="AH210">
    <cfRule type="cellIs" dxfId="11230" priority="15951" operator="between">
      <formula>0.76</formula>
      <formula>0.95</formula>
    </cfRule>
    <cfRule type="cellIs" dxfId="11229" priority="15952" operator="between">
      <formula>0.51</formula>
      <formula>0.75</formula>
    </cfRule>
    <cfRule type="cellIs" dxfId="11228" priority="15953" operator="greaterThan">
      <formula>1</formula>
    </cfRule>
    <cfRule type="cellIs" dxfId="11227" priority="15954" operator="between">
      <formula>0.95</formula>
      <formula>1</formula>
    </cfRule>
    <cfRule type="cellIs" dxfId="11226" priority="15955" stopIfTrue="1" operator="between">
      <formula>0</formula>
      <formula>0.5</formula>
    </cfRule>
  </conditionalFormatting>
  <conditionalFormatting sqref="T210">
    <cfRule type="cellIs" dxfId="11225" priority="15936" operator="between">
      <formula>0.3751</formula>
      <formula>0.475</formula>
    </cfRule>
    <cfRule type="cellIs" dxfId="11224" priority="15937" operator="between">
      <formula>0.2551</formula>
      <formula>0.375</formula>
    </cfRule>
    <cfRule type="cellIs" dxfId="11223" priority="15938" operator="greaterThan">
      <formula>0.505</formula>
    </cfRule>
    <cfRule type="cellIs" dxfId="11222" priority="15939" operator="between">
      <formula>0.48</formula>
      <formula>0.5</formula>
    </cfRule>
    <cfRule type="cellIs" dxfId="11221" priority="15940" stopIfTrue="1" operator="between">
      <formula>0</formula>
      <formula>0.255</formula>
    </cfRule>
  </conditionalFormatting>
  <conditionalFormatting sqref="U210">
    <cfRule type="cellIs" dxfId="11220" priority="15931" operator="between">
      <formula>0.376</formula>
      <formula>0.475</formula>
    </cfRule>
    <cfRule type="cellIs" dxfId="11219" priority="15932" operator="between">
      <formula>0.2551</formula>
      <formula>0.3751</formula>
    </cfRule>
    <cfRule type="cellIs" dxfId="11218" priority="15933" operator="greaterThan">
      <formula>0.505</formula>
    </cfRule>
    <cfRule type="cellIs" dxfId="11217" priority="15934" operator="between">
      <formula>0.48</formula>
      <formula>0.5</formula>
    </cfRule>
    <cfRule type="cellIs" dxfId="11216" priority="15935" stopIfTrue="1" operator="between">
      <formula>0</formula>
      <formula>0.255</formula>
    </cfRule>
  </conditionalFormatting>
  <conditionalFormatting sqref="Z210">
    <cfRule type="cellIs" dxfId="11215" priority="15926" operator="between">
      <formula>0.76</formula>
      <formula>0.95</formula>
    </cfRule>
    <cfRule type="cellIs" dxfId="11214" priority="15927" operator="between">
      <formula>0.51</formula>
      <formula>0.75</formula>
    </cfRule>
    <cfRule type="cellIs" dxfId="11213" priority="15928" operator="greaterThan">
      <formula>1</formula>
    </cfRule>
    <cfRule type="cellIs" dxfId="11212" priority="15929" operator="between">
      <formula>0.95</formula>
      <formula>1</formula>
    </cfRule>
    <cfRule type="cellIs" dxfId="11211" priority="15930" stopIfTrue="1" operator="between">
      <formula>0</formula>
      <formula>0.5</formula>
    </cfRule>
  </conditionalFormatting>
  <conditionalFormatting sqref="AG210">
    <cfRule type="cellIs" dxfId="11210" priority="15921" operator="between">
      <formula>0.76</formula>
      <formula>0.95</formula>
    </cfRule>
    <cfRule type="cellIs" dxfId="11209" priority="15922" operator="between">
      <formula>0.51</formula>
      <formula>0.75</formula>
    </cfRule>
    <cfRule type="cellIs" dxfId="11208" priority="15923" operator="greaterThan">
      <formula>1</formula>
    </cfRule>
    <cfRule type="cellIs" dxfId="11207" priority="15924" operator="between">
      <formula>0.95</formula>
      <formula>1</formula>
    </cfRule>
    <cfRule type="cellIs" dxfId="11206" priority="15925" stopIfTrue="1" operator="between">
      <formula>0</formula>
      <formula>0.5</formula>
    </cfRule>
  </conditionalFormatting>
  <conditionalFormatting sqref="AI210">
    <cfRule type="cellIs" dxfId="11205" priority="15916" operator="between">
      <formula>0.76</formula>
      <formula>0.95</formula>
    </cfRule>
    <cfRule type="cellIs" dxfId="11204" priority="15917" operator="between">
      <formula>0.51</formula>
      <formula>0.75</formula>
    </cfRule>
    <cfRule type="cellIs" dxfId="11203" priority="15918" operator="greaterThan">
      <formula>1</formula>
    </cfRule>
    <cfRule type="cellIs" dxfId="11202" priority="15919" operator="between">
      <formula>0.95</formula>
      <formula>1</formula>
    </cfRule>
    <cfRule type="cellIs" dxfId="11201" priority="15920" stopIfTrue="1" operator="between">
      <formula>0</formula>
      <formula>0.5</formula>
    </cfRule>
  </conditionalFormatting>
  <conditionalFormatting sqref="AA210">
    <cfRule type="cellIs" dxfId="11200" priority="15911" operator="between">
      <formula>0.56251</formula>
      <formula>0.7125</formula>
    </cfRule>
    <cfRule type="cellIs" dxfId="11199" priority="15912" operator="between">
      <formula>0.3751</formula>
      <formula>0.5625</formula>
    </cfRule>
    <cfRule type="cellIs" dxfId="11198" priority="15913" operator="greaterThan">
      <formula>0.751</formula>
    </cfRule>
    <cfRule type="cellIs" dxfId="11197" priority="15914" operator="between">
      <formula>0.71251</formula>
      <formula>0.75</formula>
    </cfRule>
    <cfRule type="cellIs" dxfId="11196" priority="15915" stopIfTrue="1" operator="between">
      <formula>0</formula>
      <formula>0.375</formula>
    </cfRule>
  </conditionalFormatting>
  <conditionalFormatting sqref="AC210">
    <cfRule type="cellIs" dxfId="11195" priority="15906" operator="between">
      <formula>0.56251</formula>
      <formula>0.7125</formula>
    </cfRule>
    <cfRule type="cellIs" dxfId="11194" priority="15907" operator="between">
      <formula>0.3751</formula>
      <formula>0.5625</formula>
    </cfRule>
    <cfRule type="cellIs" dxfId="11193" priority="15908" operator="greaterThan">
      <formula>0.751</formula>
    </cfRule>
    <cfRule type="cellIs" dxfId="11192" priority="15909" operator="between">
      <formula>0.71251</formula>
      <formula>0.75</formula>
    </cfRule>
    <cfRule type="cellIs" dxfId="11191" priority="15910" stopIfTrue="1" operator="between">
      <formula>0</formula>
      <formula>0.375</formula>
    </cfRule>
  </conditionalFormatting>
  <conditionalFormatting sqref="AB210">
    <cfRule type="cellIs" dxfId="11190" priority="15901" operator="between">
      <formula>0.56251</formula>
      <formula>0.7125</formula>
    </cfRule>
    <cfRule type="cellIs" dxfId="11189" priority="15902" operator="between">
      <formula>0.3751</formula>
      <formula>0.5625</formula>
    </cfRule>
    <cfRule type="cellIs" dxfId="11188" priority="15903" operator="greaterThan">
      <formula>0.751</formula>
    </cfRule>
    <cfRule type="cellIs" dxfId="11187" priority="15904" operator="between">
      <formula>0.71251</formula>
      <formula>0.75</formula>
    </cfRule>
    <cfRule type="cellIs" dxfId="11186" priority="15905" stopIfTrue="1" operator="between">
      <formula>0</formula>
      <formula>0.375</formula>
    </cfRule>
  </conditionalFormatting>
  <conditionalFormatting sqref="S210">
    <cfRule type="cellIs" dxfId="11185" priority="15879" operator="between">
      <formula>0.76</formula>
      <formula>0.95</formula>
    </cfRule>
    <cfRule type="cellIs" dxfId="11184" priority="15880" operator="between">
      <formula>0.51</formula>
      <formula>0.75</formula>
    </cfRule>
    <cfRule type="cellIs" dxfId="11183" priority="15881" operator="greaterThan">
      <formula>1</formula>
    </cfRule>
    <cfRule type="cellIs" dxfId="11182" priority="15882" operator="between">
      <formula>0.95</formula>
      <formula>1</formula>
    </cfRule>
    <cfRule type="cellIs" dxfId="11181" priority="15883" stopIfTrue="1" operator="between">
      <formula>0</formula>
      <formula>0.5</formula>
    </cfRule>
  </conditionalFormatting>
  <conditionalFormatting sqref="V210">
    <cfRule type="cellIs" dxfId="11180" priority="15874" operator="between">
      <formula>0.376</formula>
      <formula>0.475</formula>
    </cfRule>
    <cfRule type="cellIs" dxfId="11179" priority="15875" operator="between">
      <formula>0.2551</formula>
      <formula>0.3751</formula>
    </cfRule>
    <cfRule type="cellIs" dxfId="11178" priority="15876" operator="greaterThan">
      <formula>0.505</formula>
    </cfRule>
    <cfRule type="cellIs" dxfId="11177" priority="15877" operator="between">
      <formula>0.48</formula>
      <formula>0.5</formula>
    </cfRule>
    <cfRule type="cellIs" dxfId="11176" priority="15878" stopIfTrue="1" operator="between">
      <formula>0</formula>
      <formula>0.255</formula>
    </cfRule>
  </conditionalFormatting>
  <conditionalFormatting sqref="R211:R212">
    <cfRule type="cellIs" dxfId="11175" priority="15864" operator="between">
      <formula>0.76</formula>
      <formula>0.95</formula>
    </cfRule>
    <cfRule type="cellIs" dxfId="11174" priority="15865" operator="between">
      <formula>0.51</formula>
      <formula>0.75</formula>
    </cfRule>
    <cfRule type="cellIs" dxfId="11173" priority="15866" operator="greaterThan">
      <formula>1</formula>
    </cfRule>
    <cfRule type="cellIs" dxfId="11172" priority="15867" operator="between">
      <formula>0.95</formula>
      <formula>1</formula>
    </cfRule>
    <cfRule type="cellIs" dxfId="11171" priority="15868" stopIfTrue="1" operator="between">
      <formula>0</formula>
      <formula>0.5</formula>
    </cfRule>
  </conditionalFormatting>
  <conditionalFormatting sqref="Y211:Y212">
    <cfRule type="cellIs" dxfId="11170" priority="15859" operator="between">
      <formula>0.76</formula>
      <formula>0.95</formula>
    </cfRule>
    <cfRule type="cellIs" dxfId="11169" priority="15860" operator="between">
      <formula>0.51</formula>
      <formula>0.75</formula>
    </cfRule>
    <cfRule type="cellIs" dxfId="11168" priority="15861" operator="greaterThan">
      <formula>1</formula>
    </cfRule>
    <cfRule type="cellIs" dxfId="11167" priority="15862" operator="between">
      <formula>0.95</formula>
      <formula>1</formula>
    </cfRule>
    <cfRule type="cellIs" dxfId="11166" priority="15863" stopIfTrue="1" operator="between">
      <formula>0</formula>
      <formula>0.5</formula>
    </cfRule>
  </conditionalFormatting>
  <conditionalFormatting sqref="AF211:AF212">
    <cfRule type="cellIs" dxfId="11165" priority="15854" operator="between">
      <formula>0.76</formula>
      <formula>0.95</formula>
    </cfRule>
    <cfRule type="cellIs" dxfId="11164" priority="15855" operator="between">
      <formula>0.51</formula>
      <formula>0.75</formula>
    </cfRule>
    <cfRule type="cellIs" dxfId="11163" priority="15856" operator="greaterThan">
      <formula>1</formula>
    </cfRule>
    <cfRule type="cellIs" dxfId="11162" priority="15857" operator="between">
      <formula>0.95</formula>
      <formula>1</formula>
    </cfRule>
    <cfRule type="cellIs" dxfId="11161" priority="15858" stopIfTrue="1" operator="between">
      <formula>0</formula>
      <formula>0.5</formula>
    </cfRule>
  </conditionalFormatting>
  <conditionalFormatting sqref="AH211:AH212">
    <cfRule type="cellIs" dxfId="11160" priority="15849" operator="between">
      <formula>0.76</formula>
      <formula>0.95</formula>
    </cfRule>
    <cfRule type="cellIs" dxfId="11159" priority="15850" operator="between">
      <formula>0.51</formula>
      <formula>0.75</formula>
    </cfRule>
    <cfRule type="cellIs" dxfId="11158" priority="15851" operator="greaterThan">
      <formula>1</formula>
    </cfRule>
    <cfRule type="cellIs" dxfId="11157" priority="15852" operator="between">
      <formula>0.95</formula>
      <formula>1</formula>
    </cfRule>
    <cfRule type="cellIs" dxfId="11156" priority="15853" stopIfTrue="1" operator="between">
      <formula>0</formula>
      <formula>0.5</formula>
    </cfRule>
  </conditionalFormatting>
  <conditionalFormatting sqref="T211:T212">
    <cfRule type="cellIs" dxfId="11155" priority="15834" operator="between">
      <formula>0.3751</formula>
      <formula>0.475</formula>
    </cfRule>
    <cfRule type="cellIs" dxfId="11154" priority="15835" operator="between">
      <formula>0.2551</formula>
      <formula>0.375</formula>
    </cfRule>
    <cfRule type="cellIs" dxfId="11153" priority="15836" operator="greaterThan">
      <formula>0.505</formula>
    </cfRule>
    <cfRule type="cellIs" dxfId="11152" priority="15837" operator="between">
      <formula>0.48</formula>
      <formula>0.5</formula>
    </cfRule>
    <cfRule type="cellIs" dxfId="11151" priority="15838" stopIfTrue="1" operator="between">
      <formula>0</formula>
      <formula>0.255</formula>
    </cfRule>
  </conditionalFormatting>
  <conditionalFormatting sqref="U211:U212">
    <cfRule type="cellIs" dxfId="11150" priority="15829" operator="between">
      <formula>0.376</formula>
      <formula>0.475</formula>
    </cfRule>
    <cfRule type="cellIs" dxfId="11149" priority="15830" operator="between">
      <formula>0.2551</formula>
      <formula>0.3751</formula>
    </cfRule>
    <cfRule type="cellIs" dxfId="11148" priority="15831" operator="greaterThan">
      <formula>0.505</formula>
    </cfRule>
    <cfRule type="cellIs" dxfId="11147" priority="15832" operator="between">
      <formula>0.48</formula>
      <formula>0.5</formula>
    </cfRule>
    <cfRule type="cellIs" dxfId="11146" priority="15833" stopIfTrue="1" operator="between">
      <formula>0</formula>
      <formula>0.255</formula>
    </cfRule>
  </conditionalFormatting>
  <conditionalFormatting sqref="Z211:Z212">
    <cfRule type="cellIs" dxfId="11145" priority="15824" operator="between">
      <formula>0.76</formula>
      <formula>0.95</formula>
    </cfRule>
    <cfRule type="cellIs" dxfId="11144" priority="15825" operator="between">
      <formula>0.51</formula>
      <formula>0.75</formula>
    </cfRule>
    <cfRule type="cellIs" dxfId="11143" priority="15826" operator="greaterThan">
      <formula>1</formula>
    </cfRule>
    <cfRule type="cellIs" dxfId="11142" priority="15827" operator="between">
      <formula>0.95</formula>
      <formula>1</formula>
    </cfRule>
    <cfRule type="cellIs" dxfId="11141" priority="15828" stopIfTrue="1" operator="between">
      <formula>0</formula>
      <formula>0.5</formula>
    </cfRule>
  </conditionalFormatting>
  <conditionalFormatting sqref="AG211:AG212">
    <cfRule type="cellIs" dxfId="11140" priority="15819" operator="between">
      <formula>0.76</formula>
      <formula>0.95</formula>
    </cfRule>
    <cfRule type="cellIs" dxfId="11139" priority="15820" operator="between">
      <formula>0.51</formula>
      <formula>0.75</formula>
    </cfRule>
    <cfRule type="cellIs" dxfId="11138" priority="15821" operator="greaterThan">
      <formula>1</formula>
    </cfRule>
    <cfRule type="cellIs" dxfId="11137" priority="15822" operator="between">
      <formula>0.95</formula>
      <formula>1</formula>
    </cfRule>
    <cfRule type="cellIs" dxfId="11136" priority="15823" stopIfTrue="1" operator="between">
      <formula>0</formula>
      <formula>0.5</formula>
    </cfRule>
  </conditionalFormatting>
  <conditionalFormatting sqref="AI211:AI212">
    <cfRule type="cellIs" dxfId="11135" priority="15814" operator="between">
      <formula>0.76</formula>
      <formula>0.95</formula>
    </cfRule>
    <cfRule type="cellIs" dxfId="11134" priority="15815" operator="between">
      <formula>0.51</formula>
      <formula>0.75</formula>
    </cfRule>
    <cfRule type="cellIs" dxfId="11133" priority="15816" operator="greaterThan">
      <formula>1</formula>
    </cfRule>
    <cfRule type="cellIs" dxfId="11132" priority="15817" operator="between">
      <formula>0.95</formula>
      <formula>1</formula>
    </cfRule>
    <cfRule type="cellIs" dxfId="11131" priority="15818" stopIfTrue="1" operator="between">
      <formula>0</formula>
      <formula>0.5</formula>
    </cfRule>
  </conditionalFormatting>
  <conditionalFormatting sqref="AA211:AA212">
    <cfRule type="cellIs" dxfId="11130" priority="15809" operator="between">
      <formula>0.56251</formula>
      <formula>0.7125</formula>
    </cfRule>
    <cfRule type="cellIs" dxfId="11129" priority="15810" operator="between">
      <formula>0.3751</formula>
      <formula>0.5625</formula>
    </cfRule>
    <cfRule type="cellIs" dxfId="11128" priority="15811" operator="greaterThan">
      <formula>0.751</formula>
    </cfRule>
    <cfRule type="cellIs" dxfId="11127" priority="15812" operator="between">
      <formula>0.71251</formula>
      <formula>0.75</formula>
    </cfRule>
    <cfRule type="cellIs" dxfId="11126" priority="15813" stopIfTrue="1" operator="between">
      <formula>0</formula>
      <formula>0.375</formula>
    </cfRule>
  </conditionalFormatting>
  <conditionalFormatting sqref="AC211:AC212">
    <cfRule type="cellIs" dxfId="11125" priority="15804" operator="between">
      <formula>0.56251</formula>
      <formula>0.7125</formula>
    </cfRule>
    <cfRule type="cellIs" dxfId="11124" priority="15805" operator="between">
      <formula>0.3751</formula>
      <formula>0.5625</formula>
    </cfRule>
    <cfRule type="cellIs" dxfId="11123" priority="15806" operator="greaterThan">
      <formula>0.751</formula>
    </cfRule>
    <cfRule type="cellIs" dxfId="11122" priority="15807" operator="between">
      <formula>0.71251</formula>
      <formula>0.75</formula>
    </cfRule>
    <cfRule type="cellIs" dxfId="11121" priority="15808" stopIfTrue="1" operator="between">
      <formula>0</formula>
      <formula>0.375</formula>
    </cfRule>
  </conditionalFormatting>
  <conditionalFormatting sqref="AB211:AB212">
    <cfRule type="cellIs" dxfId="11120" priority="15799" operator="between">
      <formula>0.56251</formula>
      <formula>0.7125</formula>
    </cfRule>
    <cfRule type="cellIs" dxfId="11119" priority="15800" operator="between">
      <formula>0.3751</formula>
      <formula>0.5625</formula>
    </cfRule>
    <cfRule type="cellIs" dxfId="11118" priority="15801" operator="greaterThan">
      <formula>0.751</formula>
    </cfRule>
    <cfRule type="cellIs" dxfId="11117" priority="15802" operator="between">
      <formula>0.71251</formula>
      <formula>0.75</formula>
    </cfRule>
    <cfRule type="cellIs" dxfId="11116" priority="15803" stopIfTrue="1" operator="between">
      <formula>0</formula>
      <formula>0.375</formula>
    </cfRule>
  </conditionalFormatting>
  <conditionalFormatting sqref="S211:S212">
    <cfRule type="cellIs" dxfId="11115" priority="15777" operator="between">
      <formula>0.76</formula>
      <formula>0.95</formula>
    </cfRule>
    <cfRule type="cellIs" dxfId="11114" priority="15778" operator="between">
      <formula>0.51</formula>
      <formula>0.75</formula>
    </cfRule>
    <cfRule type="cellIs" dxfId="11113" priority="15779" operator="greaterThan">
      <formula>1</formula>
    </cfRule>
    <cfRule type="cellIs" dxfId="11112" priority="15780" operator="between">
      <formula>0.95</formula>
      <formula>1</formula>
    </cfRule>
    <cfRule type="cellIs" dxfId="11111" priority="15781" stopIfTrue="1" operator="between">
      <formula>0</formula>
      <formula>0.5</formula>
    </cfRule>
  </conditionalFormatting>
  <conditionalFormatting sqref="V211:V212">
    <cfRule type="cellIs" dxfId="11110" priority="15772" operator="between">
      <formula>0.376</formula>
      <formula>0.475</formula>
    </cfRule>
    <cfRule type="cellIs" dxfId="11109" priority="15773" operator="between">
      <formula>0.2551</formula>
      <formula>0.3751</formula>
    </cfRule>
    <cfRule type="cellIs" dxfId="11108" priority="15774" operator="greaterThan">
      <formula>0.505</formula>
    </cfRule>
    <cfRule type="cellIs" dxfId="11107" priority="15775" operator="between">
      <formula>0.48</formula>
      <formula>0.5</formula>
    </cfRule>
    <cfRule type="cellIs" dxfId="11106" priority="15776" stopIfTrue="1" operator="between">
      <formula>0</formula>
      <formula>0.255</formula>
    </cfRule>
  </conditionalFormatting>
  <conditionalFormatting sqref="S152">
    <cfRule type="cellIs" dxfId="11105" priority="15757" operator="between">
      <formula>0.76</formula>
      <formula>0.95</formula>
    </cfRule>
    <cfRule type="cellIs" dxfId="11104" priority="15758" operator="between">
      <formula>0.51</formula>
      <formula>0.75</formula>
    </cfRule>
    <cfRule type="cellIs" dxfId="11103" priority="15759" operator="greaterThan">
      <formula>1</formula>
    </cfRule>
    <cfRule type="cellIs" dxfId="11102" priority="15760" operator="between">
      <formula>0.95</formula>
      <formula>1</formula>
    </cfRule>
    <cfRule type="cellIs" dxfId="11101" priority="15761" stopIfTrue="1" operator="between">
      <formula>0</formula>
      <formula>0.5</formula>
    </cfRule>
  </conditionalFormatting>
  <conditionalFormatting sqref="Z152">
    <cfRule type="cellIs" dxfId="11100" priority="15747" operator="between">
      <formula>0.76</formula>
      <formula>0.95</formula>
    </cfRule>
    <cfRule type="cellIs" dxfId="11099" priority="15748" operator="between">
      <formula>0.51</formula>
      <formula>0.75</formula>
    </cfRule>
    <cfRule type="cellIs" dxfId="11098" priority="15749" operator="greaterThan">
      <formula>1</formula>
    </cfRule>
    <cfRule type="cellIs" dxfId="11097" priority="15750" operator="between">
      <formula>0.95</formula>
      <formula>1</formula>
    </cfRule>
    <cfRule type="cellIs" dxfId="11096" priority="15751" stopIfTrue="1" operator="between">
      <formula>0</formula>
      <formula>0.5</formula>
    </cfRule>
  </conditionalFormatting>
  <conditionalFormatting sqref="AF59:AI59 Y35:Z35 AF35 AH35:AI35 Y59">
    <cfRule type="cellIs" dxfId="11095" priority="15523" operator="between">
      <formula>0.76</formula>
      <formula>0.95</formula>
    </cfRule>
    <cfRule type="cellIs" dxfId="11094" priority="15524" operator="between">
      <formula>0.51</formula>
      <formula>0.75</formula>
    </cfRule>
    <cfRule type="cellIs" dxfId="11093" priority="15525" operator="greaterThan">
      <formula>1</formula>
    </cfRule>
    <cfRule type="cellIs" dxfId="11092" priority="15526" operator="between">
      <formula>0.95</formula>
      <formula>1</formula>
    </cfRule>
    <cfRule type="cellIs" dxfId="11091" priority="15527" stopIfTrue="1" operator="between">
      <formula>0</formula>
      <formula>0.5</formula>
    </cfRule>
  </conditionalFormatting>
  <conditionalFormatting sqref="AA35:AC35 AA59:AB59">
    <cfRule type="cellIs" dxfId="11090" priority="15513" operator="between">
      <formula>0.56251</formula>
      <formula>0.7125</formula>
    </cfRule>
    <cfRule type="cellIs" dxfId="11089" priority="15514" operator="between">
      <formula>0.3751</formula>
      <formula>0.5625</formula>
    </cfRule>
    <cfRule type="cellIs" dxfId="11088" priority="15515" operator="greaterThan">
      <formula>0.751</formula>
    </cfRule>
    <cfRule type="cellIs" dxfId="11087" priority="15516" operator="between">
      <formula>0.71251</formula>
      <formula>0.75</formula>
    </cfRule>
    <cfRule type="cellIs" dxfId="11086" priority="15517" stopIfTrue="1" operator="between">
      <formula>0</formula>
      <formula>0.375</formula>
    </cfRule>
  </conditionalFormatting>
  <conditionalFormatting sqref="U35:V35 U59">
    <cfRule type="cellIs" dxfId="11085" priority="15503" operator="between">
      <formula>0.376</formula>
      <formula>0.475</formula>
    </cfRule>
    <cfRule type="cellIs" dxfId="11084" priority="15504" operator="between">
      <formula>0.2551</formula>
      <formula>0.3751</formula>
    </cfRule>
    <cfRule type="cellIs" dxfId="11083" priority="15505" operator="greaterThan">
      <formula>0.505</formula>
    </cfRule>
    <cfRule type="cellIs" dxfId="11082" priority="15506" operator="between">
      <formula>0.48</formula>
      <formula>0.5</formula>
    </cfRule>
    <cfRule type="cellIs" dxfId="11081" priority="15507" stopIfTrue="1" operator="between">
      <formula>0</formula>
      <formula>0.255</formula>
    </cfRule>
  </conditionalFormatting>
  <conditionalFormatting sqref="S35">
    <cfRule type="cellIs" dxfId="11080" priority="15483" operator="between">
      <formula>0.76</formula>
      <formula>0.95</formula>
    </cfRule>
    <cfRule type="cellIs" dxfId="11079" priority="15484" operator="between">
      <formula>0.51</formula>
      <formula>0.75</formula>
    </cfRule>
    <cfRule type="cellIs" dxfId="11078" priority="15485" operator="greaterThan">
      <formula>1</formula>
    </cfRule>
    <cfRule type="cellIs" dxfId="11077" priority="15486" operator="between">
      <formula>0.95</formula>
      <formula>1</formula>
    </cfRule>
    <cfRule type="cellIs" dxfId="11076" priority="15487" stopIfTrue="1" operator="between">
      <formula>0</formula>
      <formula>0.5</formula>
    </cfRule>
  </conditionalFormatting>
  <conditionalFormatting sqref="AG35">
    <cfRule type="cellIs" dxfId="11075" priority="15478" operator="between">
      <formula>0.76</formula>
      <formula>0.95</formula>
    </cfRule>
    <cfRule type="cellIs" dxfId="11074" priority="15479" operator="between">
      <formula>0.51</formula>
      <formula>0.75</formula>
    </cfRule>
    <cfRule type="cellIs" dxfId="11073" priority="15480" operator="greaterThan">
      <formula>1</formula>
    </cfRule>
    <cfRule type="cellIs" dxfId="11072" priority="15481" operator="between">
      <formula>0.95</formula>
      <formula>1</formula>
    </cfRule>
    <cfRule type="cellIs" dxfId="11071" priority="15482" stopIfTrue="1" operator="between">
      <formula>0</formula>
      <formula>0.5</formula>
    </cfRule>
  </conditionalFormatting>
  <conditionalFormatting sqref="AI231">
    <cfRule type="cellIs" dxfId="11070" priority="15473" operator="between">
      <formula>0.76</formula>
      <formula>0.95</formula>
    </cfRule>
    <cfRule type="cellIs" dxfId="11069" priority="15474" operator="between">
      <formula>0.51</formula>
      <formula>0.75</formula>
    </cfRule>
    <cfRule type="cellIs" dxfId="11068" priority="15475" operator="greaterThan">
      <formula>1</formula>
    </cfRule>
    <cfRule type="cellIs" dxfId="11067" priority="15476" operator="between">
      <formula>0.95</formula>
      <formula>1</formula>
    </cfRule>
    <cfRule type="cellIs" dxfId="11066" priority="15477" stopIfTrue="1" operator="between">
      <formula>0</formula>
      <formula>0.5</formula>
    </cfRule>
  </conditionalFormatting>
  <conditionalFormatting sqref="AH231">
    <cfRule type="cellIs" dxfId="11065" priority="15468" operator="between">
      <formula>0.76</formula>
      <formula>0.95</formula>
    </cfRule>
    <cfRule type="cellIs" dxfId="11064" priority="15469" operator="between">
      <formula>0.51</formula>
      <formula>0.75</formula>
    </cfRule>
    <cfRule type="cellIs" dxfId="11063" priority="15470" operator="greaterThan">
      <formula>1</formula>
    </cfRule>
    <cfRule type="cellIs" dxfId="11062" priority="15471" operator="between">
      <formula>0.95</formula>
      <formula>1</formula>
    </cfRule>
    <cfRule type="cellIs" dxfId="11061" priority="15472" stopIfTrue="1" operator="between">
      <formula>0</formula>
      <formula>0.5</formula>
    </cfRule>
  </conditionalFormatting>
  <conditionalFormatting sqref="AF231">
    <cfRule type="cellIs" dxfId="11060" priority="15463" operator="between">
      <formula>0.76</formula>
      <formula>0.95</formula>
    </cfRule>
    <cfRule type="cellIs" dxfId="11059" priority="15464" operator="between">
      <formula>0.51</formula>
      <formula>0.75</formula>
    </cfRule>
    <cfRule type="cellIs" dxfId="11058" priority="15465" operator="greaterThan">
      <formula>1</formula>
    </cfRule>
    <cfRule type="cellIs" dxfId="11057" priority="15466" operator="between">
      <formula>0.95</formula>
      <formula>1</formula>
    </cfRule>
    <cfRule type="cellIs" dxfId="11056" priority="15467" stopIfTrue="1" operator="between">
      <formula>0</formula>
      <formula>0.5</formula>
    </cfRule>
  </conditionalFormatting>
  <conditionalFormatting sqref="AF231">
    <cfRule type="cellIs" dxfId="11055" priority="15458" operator="between">
      <formula>0.76</formula>
      <formula>0.95</formula>
    </cfRule>
    <cfRule type="cellIs" dxfId="11054" priority="15459" operator="between">
      <formula>0.51</formula>
      <formula>0.75</formula>
    </cfRule>
    <cfRule type="cellIs" dxfId="11053" priority="15460" operator="greaterThan">
      <formula>1</formula>
    </cfRule>
    <cfRule type="cellIs" dxfId="11052" priority="15461" operator="between">
      <formula>0.95</formula>
      <formula>1</formula>
    </cfRule>
    <cfRule type="cellIs" dxfId="11051" priority="15462" stopIfTrue="1" operator="between">
      <formula>0</formula>
      <formula>0.5</formula>
    </cfRule>
  </conditionalFormatting>
  <conditionalFormatting sqref="AF231">
    <cfRule type="cellIs" dxfId="11050" priority="15453" operator="between">
      <formula>0.76</formula>
      <formula>0.95</formula>
    </cfRule>
    <cfRule type="cellIs" dxfId="11049" priority="15454" operator="between">
      <formula>0.51</formula>
      <formula>0.75</formula>
    </cfRule>
    <cfRule type="cellIs" dxfId="11048" priority="15455" operator="greaterThan">
      <formula>1</formula>
    </cfRule>
    <cfRule type="cellIs" dxfId="11047" priority="15456" operator="between">
      <formula>0.95</formula>
      <formula>1</formula>
    </cfRule>
    <cfRule type="cellIs" dxfId="11046" priority="15457" stopIfTrue="1" operator="between">
      <formula>0</formula>
      <formula>0.5</formula>
    </cfRule>
  </conditionalFormatting>
  <conditionalFormatting sqref="AF231">
    <cfRule type="cellIs" dxfId="11045" priority="15448" operator="between">
      <formula>0.76</formula>
      <formula>0.95</formula>
    </cfRule>
    <cfRule type="cellIs" dxfId="11044" priority="15449" operator="between">
      <formula>0.51</formula>
      <formula>0.75</formula>
    </cfRule>
    <cfRule type="cellIs" dxfId="11043" priority="15450" operator="greaterThan">
      <formula>1</formula>
    </cfRule>
    <cfRule type="cellIs" dxfId="11042" priority="15451" operator="between">
      <formula>0.95</formula>
      <formula>1</formula>
    </cfRule>
    <cfRule type="cellIs" dxfId="11041" priority="15452" stopIfTrue="1" operator="between">
      <formula>0</formula>
      <formula>0.5</formula>
    </cfRule>
  </conditionalFormatting>
  <conditionalFormatting sqref="AG231">
    <cfRule type="cellIs" dxfId="11040" priority="15443" operator="between">
      <formula>0.76</formula>
      <formula>0.95</formula>
    </cfRule>
    <cfRule type="cellIs" dxfId="11039" priority="15444" operator="between">
      <formula>0.51</formula>
      <formula>0.75</formula>
    </cfRule>
    <cfRule type="cellIs" dxfId="11038" priority="15445" operator="greaterThan">
      <formula>1</formula>
    </cfRule>
    <cfRule type="cellIs" dxfId="11037" priority="15446" operator="between">
      <formula>0.95</formula>
      <formula>1</formula>
    </cfRule>
    <cfRule type="cellIs" dxfId="11036" priority="15447" stopIfTrue="1" operator="between">
      <formula>0</formula>
      <formula>0.5</formula>
    </cfRule>
  </conditionalFormatting>
  <conditionalFormatting sqref="Y231:Z231">
    <cfRule type="cellIs" dxfId="11035" priority="15435" operator="between">
      <formula>0.76</formula>
      <formula>0.95</formula>
    </cfRule>
    <cfRule type="cellIs" dxfId="11034" priority="15436" operator="between">
      <formula>0.51</formula>
      <formula>0.75</formula>
    </cfRule>
    <cfRule type="cellIs" dxfId="11033" priority="15437" operator="greaterThan">
      <formula>1</formula>
    </cfRule>
    <cfRule type="cellIs" dxfId="11032" priority="15438" operator="between">
      <formula>0.95</formula>
      <formula>1</formula>
    </cfRule>
    <cfRule type="cellIs" dxfId="11031" priority="15439" stopIfTrue="1" operator="between">
      <formula>0</formula>
      <formula>0.5</formula>
    </cfRule>
  </conditionalFormatting>
  <conditionalFormatting sqref="AA231">
    <cfRule type="cellIs" dxfId="11030" priority="15430" operator="between">
      <formula>0.56251</formula>
      <formula>0.7125</formula>
    </cfRule>
    <cfRule type="cellIs" dxfId="11029" priority="15431" operator="between">
      <formula>0.3751</formula>
      <formula>0.5625</formula>
    </cfRule>
    <cfRule type="cellIs" dxfId="11028" priority="15432" operator="greaterThan">
      <formula>0.751</formula>
    </cfRule>
    <cfRule type="cellIs" dxfId="11027" priority="15433" operator="between">
      <formula>0.71251</formula>
      <formula>0.75</formula>
    </cfRule>
    <cfRule type="cellIs" dxfId="11026" priority="15434" stopIfTrue="1" operator="between">
      <formula>0</formula>
      <formula>0.375</formula>
    </cfRule>
  </conditionalFormatting>
  <conditionalFormatting sqref="AB231">
    <cfRule type="cellIs" dxfId="11025" priority="15425" operator="between">
      <formula>0.56251</formula>
      <formula>0.7125</formula>
    </cfRule>
    <cfRule type="cellIs" dxfId="11024" priority="15426" operator="between">
      <formula>0.3751</formula>
      <formula>0.5625</formula>
    </cfRule>
    <cfRule type="cellIs" dxfId="11023" priority="15427" operator="greaterThan">
      <formula>0.751</formula>
    </cfRule>
    <cfRule type="cellIs" dxfId="11022" priority="15428" operator="between">
      <formula>0.71251</formula>
      <formula>0.75</formula>
    </cfRule>
    <cfRule type="cellIs" dxfId="11021" priority="15429" stopIfTrue="1" operator="between">
      <formula>0</formula>
      <formula>0.375</formula>
    </cfRule>
  </conditionalFormatting>
  <conditionalFormatting sqref="R231:S231">
    <cfRule type="cellIs" dxfId="11020" priority="15417" operator="between">
      <formula>0.76</formula>
      <formula>0.95</formula>
    </cfRule>
    <cfRule type="cellIs" dxfId="11019" priority="15418" operator="between">
      <formula>0.51</formula>
      <formula>0.75</formula>
    </cfRule>
    <cfRule type="cellIs" dxfId="11018" priority="15419" operator="greaterThan">
      <formula>1</formula>
    </cfRule>
    <cfRule type="cellIs" dxfId="11017" priority="15420" operator="between">
      <formula>0.95</formula>
      <formula>1</formula>
    </cfRule>
    <cfRule type="cellIs" dxfId="11016" priority="15421" stopIfTrue="1" operator="between">
      <formula>0</formula>
      <formula>0.5</formula>
    </cfRule>
  </conditionalFormatting>
  <conditionalFormatting sqref="T231">
    <cfRule type="cellIs" dxfId="11015" priority="15412" operator="between">
      <formula>0.3751</formula>
      <formula>0.475</formula>
    </cfRule>
    <cfRule type="cellIs" dxfId="11014" priority="15413" operator="between">
      <formula>0.2551</formula>
      <formula>0.375</formula>
    </cfRule>
    <cfRule type="cellIs" dxfId="11013" priority="15414" operator="greaterThan">
      <formula>0.505</formula>
    </cfRule>
    <cfRule type="cellIs" dxfId="11012" priority="15415" operator="between">
      <formula>0.48</formula>
      <formula>0.5</formula>
    </cfRule>
    <cfRule type="cellIs" dxfId="11011" priority="15416" stopIfTrue="1" operator="between">
      <formula>0</formula>
      <formula>0.255</formula>
    </cfRule>
  </conditionalFormatting>
  <conditionalFormatting sqref="U231">
    <cfRule type="cellIs" dxfId="11010" priority="15402" operator="between">
      <formula>0.376</formula>
      <formula>0.475</formula>
    </cfRule>
    <cfRule type="cellIs" dxfId="11009" priority="15403" operator="between">
      <formula>0.2551</formula>
      <formula>0.3751</formula>
    </cfRule>
    <cfRule type="cellIs" dxfId="11008" priority="15404" operator="greaterThan">
      <formula>0.505</formula>
    </cfRule>
    <cfRule type="cellIs" dxfId="11007" priority="15405" operator="between">
      <formula>0.48</formula>
      <formula>0.5</formula>
    </cfRule>
    <cfRule type="cellIs" dxfId="11006" priority="15406" stopIfTrue="1" operator="between">
      <formula>0</formula>
      <formula>0.255</formula>
    </cfRule>
  </conditionalFormatting>
  <conditionalFormatting sqref="AI232">
    <cfRule type="cellIs" dxfId="11005" priority="15371" operator="between">
      <formula>0.76</formula>
      <formula>0.95</formula>
    </cfRule>
    <cfRule type="cellIs" dxfId="11004" priority="15372" operator="between">
      <formula>0.51</formula>
      <formula>0.75</formula>
    </cfRule>
    <cfRule type="cellIs" dxfId="11003" priority="15373" operator="greaterThan">
      <formula>1</formula>
    </cfRule>
    <cfRule type="cellIs" dxfId="11002" priority="15374" operator="between">
      <formula>0.95</formula>
      <formula>1</formula>
    </cfRule>
    <cfRule type="cellIs" dxfId="11001" priority="15375" stopIfTrue="1" operator="between">
      <formula>0</formula>
      <formula>0.5</formula>
    </cfRule>
  </conditionalFormatting>
  <conditionalFormatting sqref="AH232">
    <cfRule type="cellIs" dxfId="11000" priority="15366" operator="between">
      <formula>0.76</formula>
      <formula>0.95</formula>
    </cfRule>
    <cfRule type="cellIs" dxfId="10999" priority="15367" operator="between">
      <formula>0.51</formula>
      <formula>0.75</formula>
    </cfRule>
    <cfRule type="cellIs" dxfId="10998" priority="15368" operator="greaterThan">
      <formula>1</formula>
    </cfRule>
    <cfRule type="cellIs" dxfId="10997" priority="15369" operator="between">
      <formula>0.95</formula>
      <formula>1</formula>
    </cfRule>
    <cfRule type="cellIs" dxfId="10996" priority="15370" stopIfTrue="1" operator="between">
      <formula>0</formula>
      <formula>0.5</formula>
    </cfRule>
  </conditionalFormatting>
  <conditionalFormatting sqref="AF232">
    <cfRule type="cellIs" dxfId="10995" priority="15361" operator="between">
      <formula>0.76</formula>
      <formula>0.95</formula>
    </cfRule>
    <cfRule type="cellIs" dxfId="10994" priority="15362" operator="between">
      <formula>0.51</formula>
      <formula>0.75</formula>
    </cfRule>
    <cfRule type="cellIs" dxfId="10993" priority="15363" operator="greaterThan">
      <formula>1</formula>
    </cfRule>
    <cfRule type="cellIs" dxfId="10992" priority="15364" operator="between">
      <formula>0.95</formula>
      <formula>1</formula>
    </cfRule>
    <cfRule type="cellIs" dxfId="10991" priority="15365" stopIfTrue="1" operator="between">
      <formula>0</formula>
      <formula>0.5</formula>
    </cfRule>
  </conditionalFormatting>
  <conditionalFormatting sqref="AF232">
    <cfRule type="cellIs" dxfId="10990" priority="15356" operator="between">
      <formula>0.76</formula>
      <formula>0.95</formula>
    </cfRule>
    <cfRule type="cellIs" dxfId="10989" priority="15357" operator="between">
      <formula>0.51</formula>
      <formula>0.75</formula>
    </cfRule>
    <cfRule type="cellIs" dxfId="10988" priority="15358" operator="greaterThan">
      <formula>1</formula>
    </cfRule>
    <cfRule type="cellIs" dxfId="10987" priority="15359" operator="between">
      <formula>0.95</formula>
      <formula>1</formula>
    </cfRule>
    <cfRule type="cellIs" dxfId="10986" priority="15360" stopIfTrue="1" operator="between">
      <formula>0</formula>
      <formula>0.5</formula>
    </cfRule>
  </conditionalFormatting>
  <conditionalFormatting sqref="AF232">
    <cfRule type="cellIs" dxfId="10985" priority="15351" operator="between">
      <formula>0.76</formula>
      <formula>0.95</formula>
    </cfRule>
    <cfRule type="cellIs" dxfId="10984" priority="15352" operator="between">
      <formula>0.51</formula>
      <formula>0.75</formula>
    </cfRule>
    <cfRule type="cellIs" dxfId="10983" priority="15353" operator="greaterThan">
      <formula>1</formula>
    </cfRule>
    <cfRule type="cellIs" dxfId="10982" priority="15354" operator="between">
      <formula>0.95</formula>
      <formula>1</formula>
    </cfRule>
    <cfRule type="cellIs" dxfId="10981" priority="15355" stopIfTrue="1" operator="between">
      <formula>0</formula>
      <formula>0.5</formula>
    </cfRule>
  </conditionalFormatting>
  <conditionalFormatting sqref="AF232">
    <cfRule type="cellIs" dxfId="10980" priority="15346" operator="between">
      <formula>0.76</formula>
      <formula>0.95</formula>
    </cfRule>
    <cfRule type="cellIs" dxfId="10979" priority="15347" operator="between">
      <formula>0.51</formula>
      <formula>0.75</formula>
    </cfRule>
    <cfRule type="cellIs" dxfId="10978" priority="15348" operator="greaterThan">
      <formula>1</formula>
    </cfRule>
    <cfRule type="cellIs" dxfId="10977" priority="15349" operator="between">
      <formula>0.95</formula>
      <formula>1</formula>
    </cfRule>
    <cfRule type="cellIs" dxfId="10976" priority="15350" stopIfTrue="1" operator="between">
      <formula>0</formula>
      <formula>0.5</formula>
    </cfRule>
  </conditionalFormatting>
  <conditionalFormatting sqref="AG232">
    <cfRule type="cellIs" dxfId="10975" priority="15341" operator="between">
      <formula>0.76</formula>
      <formula>0.95</formula>
    </cfRule>
    <cfRule type="cellIs" dxfId="10974" priority="15342" operator="between">
      <formula>0.51</formula>
      <formula>0.75</formula>
    </cfRule>
    <cfRule type="cellIs" dxfId="10973" priority="15343" operator="greaterThan">
      <formula>1</formula>
    </cfRule>
    <cfRule type="cellIs" dxfId="10972" priority="15344" operator="between">
      <formula>0.95</formula>
      <formula>1</formula>
    </cfRule>
    <cfRule type="cellIs" dxfId="10971" priority="15345" stopIfTrue="1" operator="between">
      <formula>0</formula>
      <formula>0.5</formula>
    </cfRule>
  </conditionalFormatting>
  <conditionalFormatting sqref="Y232:Z232">
    <cfRule type="cellIs" dxfId="10970" priority="15333" operator="between">
      <formula>0.76</formula>
      <formula>0.95</formula>
    </cfRule>
    <cfRule type="cellIs" dxfId="10969" priority="15334" operator="between">
      <formula>0.51</formula>
      <formula>0.75</formula>
    </cfRule>
    <cfRule type="cellIs" dxfId="10968" priority="15335" operator="greaterThan">
      <formula>1</formula>
    </cfRule>
    <cfRule type="cellIs" dxfId="10967" priority="15336" operator="between">
      <formula>0.95</formula>
      <formula>1</formula>
    </cfRule>
    <cfRule type="cellIs" dxfId="10966" priority="15337" stopIfTrue="1" operator="between">
      <formula>0</formula>
      <formula>0.5</formula>
    </cfRule>
  </conditionalFormatting>
  <conditionalFormatting sqref="AA232">
    <cfRule type="cellIs" dxfId="10965" priority="15328" operator="between">
      <formula>0.56251</formula>
      <formula>0.7125</formula>
    </cfRule>
    <cfRule type="cellIs" dxfId="10964" priority="15329" operator="between">
      <formula>0.3751</formula>
      <formula>0.5625</formula>
    </cfRule>
    <cfRule type="cellIs" dxfId="10963" priority="15330" operator="greaterThan">
      <formula>0.751</formula>
    </cfRule>
    <cfRule type="cellIs" dxfId="10962" priority="15331" operator="between">
      <formula>0.71251</formula>
      <formula>0.75</formula>
    </cfRule>
    <cfRule type="cellIs" dxfId="10961" priority="15332" stopIfTrue="1" operator="between">
      <formula>0</formula>
      <formula>0.375</formula>
    </cfRule>
  </conditionalFormatting>
  <conditionalFormatting sqref="AB232">
    <cfRule type="cellIs" dxfId="10960" priority="15323" operator="between">
      <formula>0.56251</formula>
      <formula>0.7125</formula>
    </cfRule>
    <cfRule type="cellIs" dxfId="10959" priority="15324" operator="between">
      <formula>0.3751</formula>
      <formula>0.5625</formula>
    </cfRule>
    <cfRule type="cellIs" dxfId="10958" priority="15325" operator="greaterThan">
      <formula>0.751</formula>
    </cfRule>
    <cfRule type="cellIs" dxfId="10957" priority="15326" operator="between">
      <formula>0.71251</formula>
      <formula>0.75</formula>
    </cfRule>
    <cfRule type="cellIs" dxfId="10956" priority="15327" stopIfTrue="1" operator="between">
      <formula>0</formula>
      <formula>0.375</formula>
    </cfRule>
  </conditionalFormatting>
  <conditionalFormatting sqref="R232:S232">
    <cfRule type="cellIs" dxfId="10955" priority="15315" operator="between">
      <formula>0.76</formula>
      <formula>0.95</formula>
    </cfRule>
    <cfRule type="cellIs" dxfId="10954" priority="15316" operator="between">
      <formula>0.51</formula>
      <formula>0.75</formula>
    </cfRule>
    <cfRule type="cellIs" dxfId="10953" priority="15317" operator="greaterThan">
      <formula>1</formula>
    </cfRule>
    <cfRule type="cellIs" dxfId="10952" priority="15318" operator="between">
      <formula>0.95</formula>
      <formula>1</formula>
    </cfRule>
    <cfRule type="cellIs" dxfId="10951" priority="15319" stopIfTrue="1" operator="between">
      <formula>0</formula>
      <formula>0.5</formula>
    </cfRule>
  </conditionalFormatting>
  <conditionalFormatting sqref="T232">
    <cfRule type="cellIs" dxfId="10950" priority="15310" operator="between">
      <formula>0.3751</formula>
      <formula>0.475</formula>
    </cfRule>
    <cfRule type="cellIs" dxfId="10949" priority="15311" operator="between">
      <formula>0.2551</formula>
      <formula>0.375</formula>
    </cfRule>
    <cfRule type="cellIs" dxfId="10948" priority="15312" operator="greaterThan">
      <formula>0.505</formula>
    </cfRule>
    <cfRule type="cellIs" dxfId="10947" priority="15313" operator="between">
      <formula>0.48</formula>
      <formula>0.5</formula>
    </cfRule>
    <cfRule type="cellIs" dxfId="10946" priority="15314" stopIfTrue="1" operator="between">
      <formula>0</formula>
      <formula>0.255</formula>
    </cfRule>
  </conditionalFormatting>
  <conditionalFormatting sqref="U232">
    <cfRule type="cellIs" dxfId="10945" priority="15300" operator="between">
      <formula>0.376</formula>
      <formula>0.475</formula>
    </cfRule>
    <cfRule type="cellIs" dxfId="10944" priority="15301" operator="between">
      <formula>0.2551</formula>
      <formula>0.3751</formula>
    </cfRule>
    <cfRule type="cellIs" dxfId="10943" priority="15302" operator="greaterThan">
      <formula>0.505</formula>
    </cfRule>
    <cfRule type="cellIs" dxfId="10942" priority="15303" operator="between">
      <formula>0.48</formula>
      <formula>0.5</formula>
    </cfRule>
    <cfRule type="cellIs" dxfId="10941" priority="15304" stopIfTrue="1" operator="between">
      <formula>0</formula>
      <formula>0.255</formula>
    </cfRule>
  </conditionalFormatting>
  <conditionalFormatting sqref="Y34 R34 AF34 AH34:AI34">
    <cfRule type="cellIs" dxfId="10940" priority="15279" operator="between">
      <formula>0.76</formula>
      <formula>0.95</formula>
    </cfRule>
    <cfRule type="cellIs" dxfId="10939" priority="15280" operator="between">
      <formula>0.51</formula>
      <formula>0.75</formula>
    </cfRule>
    <cfRule type="cellIs" dxfId="10938" priority="15281" operator="greaterThan">
      <formula>1</formula>
    </cfRule>
    <cfRule type="cellIs" dxfId="10937" priority="15282" operator="between">
      <formula>0.95</formula>
      <formula>1</formula>
    </cfRule>
    <cfRule type="cellIs" dxfId="10936" priority="15283" stopIfTrue="1" operator="between">
      <formula>0</formula>
      <formula>0.5</formula>
    </cfRule>
  </conditionalFormatting>
  <conditionalFormatting sqref="T34">
    <cfRule type="cellIs" dxfId="10935" priority="15274" operator="between">
      <formula>0.3751</formula>
      <formula>0.475</formula>
    </cfRule>
    <cfRule type="cellIs" dxfId="10934" priority="15275" operator="between">
      <formula>0.2551</formula>
      <formula>0.375</formula>
    </cfRule>
    <cfRule type="cellIs" dxfId="10933" priority="15276" operator="greaterThan">
      <formula>0.505</formula>
    </cfRule>
    <cfRule type="cellIs" dxfId="10932" priority="15277" operator="between">
      <formula>0.48</formula>
      <formula>0.5</formula>
    </cfRule>
    <cfRule type="cellIs" dxfId="10931" priority="15278" stopIfTrue="1" operator="between">
      <formula>0</formula>
      <formula>0.255</formula>
    </cfRule>
  </conditionalFormatting>
  <conditionalFormatting sqref="AA34:AB34">
    <cfRule type="cellIs" dxfId="10930" priority="15269" operator="between">
      <formula>0.56251</formula>
      <formula>0.7125</formula>
    </cfRule>
    <cfRule type="cellIs" dxfId="10929" priority="15270" operator="between">
      <formula>0.3751</formula>
      <formula>0.5625</formula>
    </cfRule>
    <cfRule type="cellIs" dxfId="10928" priority="15271" operator="greaterThan">
      <formula>0.751</formula>
    </cfRule>
    <cfRule type="cellIs" dxfId="10927" priority="15272" operator="between">
      <formula>0.71251</formula>
      <formula>0.75</formula>
    </cfRule>
    <cfRule type="cellIs" dxfId="10926" priority="15273" stopIfTrue="1" operator="between">
      <formula>0</formula>
      <formula>0.375</formula>
    </cfRule>
  </conditionalFormatting>
  <conditionalFormatting sqref="U34">
    <cfRule type="cellIs" dxfId="10925" priority="15259" operator="between">
      <formula>0.376</formula>
      <formula>0.475</formula>
    </cfRule>
    <cfRule type="cellIs" dxfId="10924" priority="15260" operator="between">
      <formula>0.2551</formula>
      <formula>0.3751</formula>
    </cfRule>
    <cfRule type="cellIs" dxfId="10923" priority="15261" operator="greaterThan">
      <formula>0.505</formula>
    </cfRule>
    <cfRule type="cellIs" dxfId="10922" priority="15262" operator="between">
      <formula>0.48</formula>
      <formula>0.5</formula>
    </cfRule>
    <cfRule type="cellIs" dxfId="10921" priority="15263" stopIfTrue="1" operator="between">
      <formula>0</formula>
      <formula>0.255</formula>
    </cfRule>
  </conditionalFormatting>
  <conditionalFormatting sqref="AG34">
    <cfRule type="cellIs" dxfId="10920" priority="15234" operator="between">
      <formula>0.76</formula>
      <formula>0.95</formula>
    </cfRule>
    <cfRule type="cellIs" dxfId="10919" priority="15235" operator="between">
      <formula>0.51</formula>
      <formula>0.75</formula>
    </cfRule>
    <cfRule type="cellIs" dxfId="10918" priority="15236" operator="greaterThan">
      <formula>1</formula>
    </cfRule>
    <cfRule type="cellIs" dxfId="10917" priority="15237" operator="between">
      <formula>0.95</formula>
      <formula>1</formula>
    </cfRule>
    <cfRule type="cellIs" dxfId="10916" priority="15238" stopIfTrue="1" operator="between">
      <formula>0</formula>
      <formula>0.5</formula>
    </cfRule>
  </conditionalFormatting>
  <conditionalFormatting sqref="Z34">
    <cfRule type="cellIs" dxfId="10915" priority="15219" operator="between">
      <formula>0.76</formula>
      <formula>0.95</formula>
    </cfRule>
    <cfRule type="cellIs" dxfId="10914" priority="15220" operator="between">
      <formula>0.51</formula>
      <formula>0.75</formula>
    </cfRule>
    <cfRule type="cellIs" dxfId="10913" priority="15221" operator="greaterThan">
      <formula>1</formula>
    </cfRule>
    <cfRule type="cellIs" dxfId="10912" priority="15222" operator="between">
      <formula>0.95</formula>
      <formula>1</formula>
    </cfRule>
    <cfRule type="cellIs" dxfId="10911" priority="15223" stopIfTrue="1" operator="between">
      <formula>0</formula>
      <formula>0.5</formula>
    </cfRule>
  </conditionalFormatting>
  <conditionalFormatting sqref="AC34">
    <cfRule type="cellIs" dxfId="10910" priority="15214" operator="between">
      <formula>0.56251</formula>
      <formula>0.7125</formula>
    </cfRule>
    <cfRule type="cellIs" dxfId="10909" priority="15215" operator="between">
      <formula>0.3751</formula>
      <formula>0.5625</formula>
    </cfRule>
    <cfRule type="cellIs" dxfId="10908" priority="15216" operator="greaterThan">
      <formula>0.751</formula>
    </cfRule>
    <cfRule type="cellIs" dxfId="10907" priority="15217" operator="between">
      <formula>0.71251</formula>
      <formula>0.75</formula>
    </cfRule>
    <cfRule type="cellIs" dxfId="10906" priority="15218" stopIfTrue="1" operator="between">
      <formula>0</formula>
      <formula>0.375</formula>
    </cfRule>
  </conditionalFormatting>
  <conditionalFormatting sqref="S34">
    <cfRule type="cellIs" dxfId="10905" priority="15209" operator="between">
      <formula>0.76</formula>
      <formula>0.95</formula>
    </cfRule>
    <cfRule type="cellIs" dxfId="10904" priority="15210" operator="between">
      <formula>0.51</formula>
      <formula>0.75</formula>
    </cfRule>
    <cfRule type="cellIs" dxfId="10903" priority="15211" operator="greaterThan">
      <formula>1</formula>
    </cfRule>
    <cfRule type="cellIs" dxfId="10902" priority="15212" operator="between">
      <formula>0.95</formula>
      <formula>1</formula>
    </cfRule>
    <cfRule type="cellIs" dxfId="10901" priority="15213" stopIfTrue="1" operator="between">
      <formula>0</formula>
      <formula>0.5</formula>
    </cfRule>
  </conditionalFormatting>
  <conditionalFormatting sqref="V34">
    <cfRule type="cellIs" dxfId="10900" priority="15204" operator="between">
      <formula>0.376</formula>
      <formula>0.475</formula>
    </cfRule>
    <cfRule type="cellIs" dxfId="10899" priority="15205" operator="between">
      <formula>0.2551</formula>
      <formula>0.3751</formula>
    </cfRule>
    <cfRule type="cellIs" dxfId="10898" priority="15206" operator="greaterThan">
      <formula>0.505</formula>
    </cfRule>
    <cfRule type="cellIs" dxfId="10897" priority="15207" operator="between">
      <formula>0.48</formula>
      <formula>0.5</formula>
    </cfRule>
    <cfRule type="cellIs" dxfId="10896" priority="15208" stopIfTrue="1" operator="between">
      <formula>0</formula>
      <formula>0.255</formula>
    </cfRule>
  </conditionalFormatting>
  <conditionalFormatting sqref="Y29 R29 AF29 AH31:AI31 AF31 R31 Y31">
    <cfRule type="cellIs" dxfId="10895" priority="15199" operator="between">
      <formula>0.76</formula>
      <formula>0.95</formula>
    </cfRule>
    <cfRule type="cellIs" dxfId="10894" priority="15200" operator="between">
      <formula>0.51</formula>
      <formula>0.75</formula>
    </cfRule>
    <cfRule type="cellIs" dxfId="10893" priority="15201" operator="greaterThan">
      <formula>1</formula>
    </cfRule>
    <cfRule type="cellIs" dxfId="10892" priority="15202" operator="between">
      <formula>0.95</formula>
      <formula>1</formula>
    </cfRule>
    <cfRule type="cellIs" dxfId="10891" priority="15203" stopIfTrue="1" operator="between">
      <formula>0</formula>
      <formula>0.5</formula>
    </cfRule>
  </conditionalFormatting>
  <conditionalFormatting sqref="T31">
    <cfRule type="cellIs" dxfId="10890" priority="15194" operator="between">
      <formula>0.3751</formula>
      <formula>0.475</formula>
    </cfRule>
    <cfRule type="cellIs" dxfId="10889" priority="15195" operator="between">
      <formula>0.2551</formula>
      <formula>0.375</formula>
    </cfRule>
    <cfRule type="cellIs" dxfId="10888" priority="15196" operator="greaterThan">
      <formula>0.505</formula>
    </cfRule>
    <cfRule type="cellIs" dxfId="10887" priority="15197" operator="between">
      <formula>0.48</formula>
      <formula>0.5</formula>
    </cfRule>
    <cfRule type="cellIs" dxfId="10886" priority="15198" stopIfTrue="1" operator="between">
      <formula>0</formula>
      <formula>0.255</formula>
    </cfRule>
  </conditionalFormatting>
  <conditionalFormatting sqref="AA31:AB31">
    <cfRule type="cellIs" dxfId="10885" priority="15189" operator="between">
      <formula>0.56251</formula>
      <formula>0.7125</formula>
    </cfRule>
    <cfRule type="cellIs" dxfId="10884" priority="15190" operator="between">
      <formula>0.3751</formula>
      <formula>0.5625</formula>
    </cfRule>
    <cfRule type="cellIs" dxfId="10883" priority="15191" operator="greaterThan">
      <formula>0.751</formula>
    </cfRule>
    <cfRule type="cellIs" dxfId="10882" priority="15192" operator="between">
      <formula>0.71251</formula>
      <formula>0.75</formula>
    </cfRule>
    <cfRule type="cellIs" dxfId="10881" priority="15193" stopIfTrue="1" operator="between">
      <formula>0</formula>
      <formula>0.375</formula>
    </cfRule>
  </conditionalFormatting>
  <conditionalFormatting sqref="U31">
    <cfRule type="cellIs" dxfId="10880" priority="15179" operator="between">
      <formula>0.376</formula>
      <formula>0.475</formula>
    </cfRule>
    <cfRule type="cellIs" dxfId="10879" priority="15180" operator="between">
      <formula>0.2551</formula>
      <formula>0.3751</formula>
    </cfRule>
    <cfRule type="cellIs" dxfId="10878" priority="15181" operator="greaterThan">
      <formula>0.505</formula>
    </cfRule>
    <cfRule type="cellIs" dxfId="10877" priority="15182" operator="between">
      <formula>0.48</formula>
      <formula>0.5</formula>
    </cfRule>
    <cfRule type="cellIs" dxfId="10876" priority="15183" stopIfTrue="1" operator="between">
      <formula>0</formula>
      <formula>0.255</formula>
    </cfRule>
  </conditionalFormatting>
  <conditionalFormatting sqref="AG29 AG31">
    <cfRule type="cellIs" dxfId="10875" priority="15159" operator="between">
      <formula>0.76</formula>
      <formula>0.95</formula>
    </cfRule>
    <cfRule type="cellIs" dxfId="10874" priority="15160" operator="between">
      <formula>0.51</formula>
      <formula>0.75</formula>
    </cfRule>
    <cfRule type="cellIs" dxfId="10873" priority="15161" operator="greaterThan">
      <formula>1</formula>
    </cfRule>
    <cfRule type="cellIs" dxfId="10872" priority="15162" operator="between">
      <formula>0.95</formula>
      <formula>1</formula>
    </cfRule>
    <cfRule type="cellIs" dxfId="10871" priority="15163" stopIfTrue="1" operator="between">
      <formula>0</formula>
      <formula>0.5</formula>
    </cfRule>
  </conditionalFormatting>
  <conditionalFormatting sqref="Z29 Z31">
    <cfRule type="cellIs" dxfId="10870" priority="15144" operator="between">
      <formula>0.76</formula>
      <formula>0.95</formula>
    </cfRule>
    <cfRule type="cellIs" dxfId="10869" priority="15145" operator="between">
      <formula>0.51</formula>
      <formula>0.75</formula>
    </cfRule>
    <cfRule type="cellIs" dxfId="10868" priority="15146" operator="greaterThan">
      <formula>1</formula>
    </cfRule>
    <cfRule type="cellIs" dxfId="10867" priority="15147" operator="between">
      <formula>0.95</formula>
      <formula>1</formula>
    </cfRule>
    <cfRule type="cellIs" dxfId="10866" priority="15148" stopIfTrue="1" operator="between">
      <formula>0</formula>
      <formula>0.5</formula>
    </cfRule>
  </conditionalFormatting>
  <conditionalFormatting sqref="AC31">
    <cfRule type="cellIs" dxfId="10865" priority="15139" operator="between">
      <formula>0.56251</formula>
      <formula>0.7125</formula>
    </cfRule>
    <cfRule type="cellIs" dxfId="10864" priority="15140" operator="between">
      <formula>0.3751</formula>
      <formula>0.5625</formula>
    </cfRule>
    <cfRule type="cellIs" dxfId="10863" priority="15141" operator="greaterThan">
      <formula>0.751</formula>
    </cfRule>
    <cfRule type="cellIs" dxfId="10862" priority="15142" operator="between">
      <formula>0.71251</formula>
      <formula>0.75</formula>
    </cfRule>
    <cfRule type="cellIs" dxfId="10861" priority="15143" stopIfTrue="1" operator="between">
      <formula>0</formula>
      <formula>0.375</formula>
    </cfRule>
  </conditionalFormatting>
  <conditionalFormatting sqref="S29 S31">
    <cfRule type="cellIs" dxfId="10860" priority="15134" operator="between">
      <formula>0.76</formula>
      <formula>0.95</formula>
    </cfRule>
    <cfRule type="cellIs" dxfId="10859" priority="15135" operator="between">
      <formula>0.51</formula>
      <formula>0.75</formula>
    </cfRule>
    <cfRule type="cellIs" dxfId="10858" priority="15136" operator="greaterThan">
      <formula>1</formula>
    </cfRule>
    <cfRule type="cellIs" dxfId="10857" priority="15137" operator="between">
      <formula>0.95</formula>
      <formula>1</formula>
    </cfRule>
    <cfRule type="cellIs" dxfId="10856" priority="15138" stopIfTrue="1" operator="between">
      <formula>0</formula>
      <formula>0.5</formula>
    </cfRule>
  </conditionalFormatting>
  <conditionalFormatting sqref="V31">
    <cfRule type="cellIs" dxfId="10855" priority="15129" operator="between">
      <formula>0.376</formula>
      <formula>0.475</formula>
    </cfRule>
    <cfRule type="cellIs" dxfId="10854" priority="15130" operator="between">
      <formula>0.2551</formula>
      <formula>0.3751</formula>
    </cfRule>
    <cfRule type="cellIs" dxfId="10853" priority="15131" operator="greaterThan">
      <formula>0.505</formula>
    </cfRule>
    <cfRule type="cellIs" dxfId="10852" priority="15132" operator="between">
      <formula>0.48</formula>
      <formula>0.5</formula>
    </cfRule>
    <cfRule type="cellIs" dxfId="10851" priority="15133" stopIfTrue="1" operator="between">
      <formula>0</formula>
      <formula>0.255</formula>
    </cfRule>
  </conditionalFormatting>
  <conditionalFormatting sqref="Z59">
    <cfRule type="cellIs" dxfId="10850" priority="15124" operator="between">
      <formula>0.76</formula>
      <formula>0.95</formula>
    </cfRule>
    <cfRule type="cellIs" dxfId="10849" priority="15125" operator="between">
      <formula>0.51</formula>
      <formula>0.75</formula>
    </cfRule>
    <cfRule type="cellIs" dxfId="10848" priority="15126" operator="greaterThan">
      <formula>1</formula>
    </cfRule>
    <cfRule type="cellIs" dxfId="10847" priority="15127" operator="between">
      <formula>0.95</formula>
      <formula>1</formula>
    </cfRule>
    <cfRule type="cellIs" dxfId="10846" priority="15128" stopIfTrue="1" operator="between">
      <formula>0</formula>
      <formula>0.5</formula>
    </cfRule>
  </conditionalFormatting>
  <conditionalFormatting sqref="AC59">
    <cfRule type="cellIs" dxfId="10845" priority="15119" operator="between">
      <formula>0.56251</formula>
      <formula>0.7125</formula>
    </cfRule>
    <cfRule type="cellIs" dxfId="10844" priority="15120" operator="between">
      <formula>0.3751</formula>
      <formula>0.5625</formula>
    </cfRule>
    <cfRule type="cellIs" dxfId="10843" priority="15121" operator="greaterThan">
      <formula>0.751</formula>
    </cfRule>
    <cfRule type="cellIs" dxfId="10842" priority="15122" operator="between">
      <formula>0.71251</formula>
      <formula>0.75</formula>
    </cfRule>
    <cfRule type="cellIs" dxfId="10841" priority="15123" stopIfTrue="1" operator="between">
      <formula>0</formula>
      <formula>0.375</formula>
    </cfRule>
  </conditionalFormatting>
  <conditionalFormatting sqref="S59">
    <cfRule type="cellIs" dxfId="10840" priority="15114" operator="between">
      <formula>0.76</formula>
      <formula>0.95</formula>
    </cfRule>
    <cfRule type="cellIs" dxfId="10839" priority="15115" operator="between">
      <formula>0.51</formula>
      <formula>0.75</formula>
    </cfRule>
    <cfRule type="cellIs" dxfId="10838" priority="15116" operator="greaterThan">
      <formula>1</formula>
    </cfRule>
    <cfRule type="cellIs" dxfId="10837" priority="15117" operator="between">
      <formula>0.95</formula>
      <formula>1</formula>
    </cfRule>
    <cfRule type="cellIs" dxfId="10836" priority="15118" stopIfTrue="1" operator="between">
      <formula>0</formula>
      <formula>0.5</formula>
    </cfRule>
  </conditionalFormatting>
  <conditionalFormatting sqref="V59">
    <cfRule type="cellIs" dxfId="10835" priority="15109" operator="between">
      <formula>0.376</formula>
      <formula>0.475</formula>
    </cfRule>
    <cfRule type="cellIs" dxfId="10834" priority="15110" operator="between">
      <formula>0.2551</formula>
      <formula>0.3751</formula>
    </cfRule>
    <cfRule type="cellIs" dxfId="10833" priority="15111" operator="greaterThan">
      <formula>0.505</formula>
    </cfRule>
    <cfRule type="cellIs" dxfId="10832" priority="15112" operator="between">
      <formula>0.48</formula>
      <formula>0.5</formula>
    </cfRule>
    <cfRule type="cellIs" dxfId="10831" priority="15113" stopIfTrue="1" operator="between">
      <formula>0</formula>
      <formula>0.255</formula>
    </cfRule>
  </conditionalFormatting>
  <conditionalFormatting sqref="AF60:AI60 R60 Y60">
    <cfRule type="cellIs" dxfId="10830" priority="15104" operator="between">
      <formula>0.76</formula>
      <formula>0.95</formula>
    </cfRule>
    <cfRule type="cellIs" dxfId="10829" priority="15105" operator="between">
      <formula>0.51</formula>
      <formula>0.75</formula>
    </cfRule>
    <cfRule type="cellIs" dxfId="10828" priority="15106" operator="greaterThan">
      <formula>1</formula>
    </cfRule>
    <cfRule type="cellIs" dxfId="10827" priority="15107" operator="between">
      <formula>0.95</formula>
      <formula>1</formula>
    </cfRule>
    <cfRule type="cellIs" dxfId="10826" priority="15108" stopIfTrue="1" operator="between">
      <formula>0</formula>
      <formula>0.5</formula>
    </cfRule>
  </conditionalFormatting>
  <conditionalFormatting sqref="T60">
    <cfRule type="cellIs" dxfId="10825" priority="15099" operator="between">
      <formula>0.3751</formula>
      <formula>0.475</formula>
    </cfRule>
    <cfRule type="cellIs" dxfId="10824" priority="15100" operator="between">
      <formula>0.2551</formula>
      <formula>0.375</formula>
    </cfRule>
    <cfRule type="cellIs" dxfId="10823" priority="15101" operator="greaterThan">
      <formula>0.505</formula>
    </cfRule>
    <cfRule type="cellIs" dxfId="10822" priority="15102" operator="between">
      <formula>0.48</formula>
      <formula>0.5</formula>
    </cfRule>
    <cfRule type="cellIs" dxfId="10821" priority="15103" stopIfTrue="1" operator="between">
      <formula>0</formula>
      <formula>0.255</formula>
    </cfRule>
  </conditionalFormatting>
  <conditionalFormatting sqref="AA60:AB60">
    <cfRule type="cellIs" dxfId="10820" priority="15094" operator="between">
      <formula>0.56251</formula>
      <formula>0.7125</formula>
    </cfRule>
    <cfRule type="cellIs" dxfId="10819" priority="15095" operator="between">
      <formula>0.3751</formula>
      <formula>0.5625</formula>
    </cfRule>
    <cfRule type="cellIs" dxfId="10818" priority="15096" operator="greaterThan">
      <formula>0.751</formula>
    </cfRule>
    <cfRule type="cellIs" dxfId="10817" priority="15097" operator="between">
      <formula>0.71251</formula>
      <formula>0.75</formula>
    </cfRule>
    <cfRule type="cellIs" dxfId="10816" priority="15098" stopIfTrue="1" operator="between">
      <formula>0</formula>
      <formula>0.375</formula>
    </cfRule>
  </conditionalFormatting>
  <conditionalFormatting sqref="U60">
    <cfRule type="cellIs" dxfId="10815" priority="15084" operator="between">
      <formula>0.376</formula>
      <formula>0.475</formula>
    </cfRule>
    <cfRule type="cellIs" dxfId="10814" priority="15085" operator="between">
      <formula>0.2551</formula>
      <formula>0.3751</formula>
    </cfRule>
    <cfRule type="cellIs" dxfId="10813" priority="15086" operator="greaterThan">
      <formula>0.505</formula>
    </cfRule>
    <cfRule type="cellIs" dxfId="10812" priority="15087" operator="between">
      <formula>0.48</formula>
      <formula>0.5</formula>
    </cfRule>
    <cfRule type="cellIs" dxfId="10811" priority="15088" stopIfTrue="1" operator="between">
      <formula>0</formula>
      <formula>0.255</formula>
    </cfRule>
  </conditionalFormatting>
  <conditionalFormatting sqref="Z60">
    <cfRule type="cellIs" dxfId="10810" priority="15064" operator="between">
      <formula>0.76</formula>
      <formula>0.95</formula>
    </cfRule>
    <cfRule type="cellIs" dxfId="10809" priority="15065" operator="between">
      <formula>0.51</formula>
      <formula>0.75</formula>
    </cfRule>
    <cfRule type="cellIs" dxfId="10808" priority="15066" operator="greaterThan">
      <formula>1</formula>
    </cfRule>
    <cfRule type="cellIs" dxfId="10807" priority="15067" operator="between">
      <formula>0.95</formula>
      <formula>1</formula>
    </cfRule>
    <cfRule type="cellIs" dxfId="10806" priority="15068" stopIfTrue="1" operator="between">
      <formula>0</formula>
      <formula>0.5</formula>
    </cfRule>
  </conditionalFormatting>
  <conditionalFormatting sqref="AC60">
    <cfRule type="cellIs" dxfId="10805" priority="15059" operator="between">
      <formula>0.56251</formula>
      <formula>0.7125</formula>
    </cfRule>
    <cfRule type="cellIs" dxfId="10804" priority="15060" operator="between">
      <formula>0.3751</formula>
      <formula>0.5625</formula>
    </cfRule>
    <cfRule type="cellIs" dxfId="10803" priority="15061" operator="greaterThan">
      <formula>0.751</formula>
    </cfRule>
    <cfRule type="cellIs" dxfId="10802" priority="15062" operator="between">
      <formula>0.71251</formula>
      <formula>0.75</formula>
    </cfRule>
    <cfRule type="cellIs" dxfId="10801" priority="15063" stopIfTrue="1" operator="between">
      <formula>0</formula>
      <formula>0.375</formula>
    </cfRule>
  </conditionalFormatting>
  <conditionalFormatting sqref="S60">
    <cfRule type="cellIs" dxfId="10800" priority="15054" operator="between">
      <formula>0.76</formula>
      <formula>0.95</formula>
    </cfRule>
    <cfRule type="cellIs" dxfId="10799" priority="15055" operator="between">
      <formula>0.51</formula>
      <formula>0.75</formula>
    </cfRule>
    <cfRule type="cellIs" dxfId="10798" priority="15056" operator="greaterThan">
      <formula>1</formula>
    </cfRule>
    <cfRule type="cellIs" dxfId="10797" priority="15057" operator="between">
      <formula>0.95</formula>
      <formula>1</formula>
    </cfRule>
    <cfRule type="cellIs" dxfId="10796" priority="15058" stopIfTrue="1" operator="between">
      <formula>0</formula>
      <formula>0.5</formula>
    </cfRule>
  </conditionalFormatting>
  <conditionalFormatting sqref="V60">
    <cfRule type="cellIs" dxfId="10795" priority="15049" operator="between">
      <formula>0.376</formula>
      <formula>0.475</formula>
    </cfRule>
    <cfRule type="cellIs" dxfId="10794" priority="15050" operator="between">
      <formula>0.2551</formula>
      <formula>0.3751</formula>
    </cfRule>
    <cfRule type="cellIs" dxfId="10793" priority="15051" operator="greaterThan">
      <formula>0.505</formula>
    </cfRule>
    <cfRule type="cellIs" dxfId="10792" priority="15052" operator="between">
      <formula>0.48</formula>
      <formula>0.5</formula>
    </cfRule>
    <cfRule type="cellIs" dxfId="10791" priority="15053" stopIfTrue="1" operator="between">
      <formula>0</formula>
      <formula>0.255</formula>
    </cfRule>
  </conditionalFormatting>
  <conditionalFormatting sqref="AF65:AI65 R65 Y65">
    <cfRule type="cellIs" dxfId="10790" priority="15044" operator="between">
      <formula>0.76</formula>
      <formula>0.95</formula>
    </cfRule>
    <cfRule type="cellIs" dxfId="10789" priority="15045" operator="between">
      <formula>0.51</formula>
      <formula>0.75</formula>
    </cfRule>
    <cfRule type="cellIs" dxfId="10788" priority="15046" operator="greaterThan">
      <formula>1</formula>
    </cfRule>
    <cfRule type="cellIs" dxfId="10787" priority="15047" operator="between">
      <formula>0.95</formula>
      <formula>1</formula>
    </cfRule>
    <cfRule type="cellIs" dxfId="10786" priority="15048" stopIfTrue="1" operator="between">
      <formula>0</formula>
      <formula>0.5</formula>
    </cfRule>
  </conditionalFormatting>
  <conditionalFormatting sqref="T65">
    <cfRule type="cellIs" dxfId="10785" priority="15039" operator="between">
      <formula>0.3751</formula>
      <formula>0.475</formula>
    </cfRule>
    <cfRule type="cellIs" dxfId="10784" priority="15040" operator="between">
      <formula>0.2551</formula>
      <formula>0.375</formula>
    </cfRule>
    <cfRule type="cellIs" dxfId="10783" priority="15041" operator="greaterThan">
      <formula>0.505</formula>
    </cfRule>
    <cfRule type="cellIs" dxfId="10782" priority="15042" operator="between">
      <formula>0.48</formula>
      <formula>0.5</formula>
    </cfRule>
    <cfRule type="cellIs" dxfId="10781" priority="15043" stopIfTrue="1" operator="between">
      <formula>0</formula>
      <formula>0.255</formula>
    </cfRule>
  </conditionalFormatting>
  <conditionalFormatting sqref="AA65:AB65">
    <cfRule type="cellIs" dxfId="10780" priority="15034" operator="between">
      <formula>0.56251</formula>
      <formula>0.7125</formula>
    </cfRule>
    <cfRule type="cellIs" dxfId="10779" priority="15035" operator="between">
      <formula>0.3751</formula>
      <formula>0.5625</formula>
    </cfRule>
    <cfRule type="cellIs" dxfId="10778" priority="15036" operator="greaterThan">
      <formula>0.751</formula>
    </cfRule>
    <cfRule type="cellIs" dxfId="10777" priority="15037" operator="between">
      <formula>0.71251</formula>
      <formula>0.75</formula>
    </cfRule>
    <cfRule type="cellIs" dxfId="10776" priority="15038" stopIfTrue="1" operator="between">
      <formula>0</formula>
      <formula>0.375</formula>
    </cfRule>
  </conditionalFormatting>
  <conditionalFormatting sqref="U65">
    <cfRule type="cellIs" dxfId="10775" priority="15024" operator="between">
      <formula>0.376</formula>
      <formula>0.475</formula>
    </cfRule>
    <cfRule type="cellIs" dxfId="10774" priority="15025" operator="between">
      <formula>0.2551</formula>
      <formula>0.3751</formula>
    </cfRule>
    <cfRule type="cellIs" dxfId="10773" priority="15026" operator="greaterThan">
      <formula>0.505</formula>
    </cfRule>
    <cfRule type="cellIs" dxfId="10772" priority="15027" operator="between">
      <formula>0.48</formula>
      <formula>0.5</formula>
    </cfRule>
    <cfRule type="cellIs" dxfId="10771" priority="15028" stopIfTrue="1" operator="between">
      <formula>0</formula>
      <formula>0.255</formula>
    </cfRule>
  </conditionalFormatting>
  <conditionalFormatting sqref="Z65">
    <cfRule type="cellIs" dxfId="10770" priority="15004" operator="between">
      <formula>0.76</formula>
      <formula>0.95</formula>
    </cfRule>
    <cfRule type="cellIs" dxfId="10769" priority="15005" operator="between">
      <formula>0.51</formula>
      <formula>0.75</formula>
    </cfRule>
    <cfRule type="cellIs" dxfId="10768" priority="15006" operator="greaterThan">
      <formula>1</formula>
    </cfRule>
    <cfRule type="cellIs" dxfId="10767" priority="15007" operator="between">
      <formula>0.95</formula>
      <formula>1</formula>
    </cfRule>
    <cfRule type="cellIs" dxfId="10766" priority="15008" stopIfTrue="1" operator="between">
      <formula>0</formula>
      <formula>0.5</formula>
    </cfRule>
  </conditionalFormatting>
  <conditionalFormatting sqref="AC65">
    <cfRule type="cellIs" dxfId="10765" priority="14999" operator="between">
      <formula>0.56251</formula>
      <formula>0.7125</formula>
    </cfRule>
    <cfRule type="cellIs" dxfId="10764" priority="15000" operator="between">
      <formula>0.3751</formula>
      <formula>0.5625</formula>
    </cfRule>
    <cfRule type="cellIs" dxfId="10763" priority="15001" operator="greaterThan">
      <formula>0.751</formula>
    </cfRule>
    <cfRule type="cellIs" dxfId="10762" priority="15002" operator="between">
      <formula>0.71251</formula>
      <formula>0.75</formula>
    </cfRule>
    <cfRule type="cellIs" dxfId="10761" priority="15003" stopIfTrue="1" operator="between">
      <formula>0</formula>
      <formula>0.375</formula>
    </cfRule>
  </conditionalFormatting>
  <conditionalFormatting sqref="S65">
    <cfRule type="cellIs" dxfId="10760" priority="14994" operator="between">
      <formula>0.76</formula>
      <formula>0.95</formula>
    </cfRule>
    <cfRule type="cellIs" dxfId="10759" priority="14995" operator="between">
      <formula>0.51</formula>
      <formula>0.75</formula>
    </cfRule>
    <cfRule type="cellIs" dxfId="10758" priority="14996" operator="greaterThan">
      <formula>1</formula>
    </cfRule>
    <cfRule type="cellIs" dxfId="10757" priority="14997" operator="between">
      <formula>0.95</formula>
      <formula>1</formula>
    </cfRule>
    <cfRule type="cellIs" dxfId="10756" priority="14998" stopIfTrue="1" operator="between">
      <formula>0</formula>
      <formula>0.5</formula>
    </cfRule>
  </conditionalFormatting>
  <conditionalFormatting sqref="V65">
    <cfRule type="cellIs" dxfId="10755" priority="14989" operator="between">
      <formula>0.376</formula>
      <formula>0.475</formula>
    </cfRule>
    <cfRule type="cellIs" dxfId="10754" priority="14990" operator="between">
      <formula>0.2551</formula>
      <formula>0.3751</formula>
    </cfRule>
    <cfRule type="cellIs" dxfId="10753" priority="14991" operator="greaterThan">
      <formula>0.505</formula>
    </cfRule>
    <cfRule type="cellIs" dxfId="10752" priority="14992" operator="between">
      <formula>0.48</formula>
      <formula>0.5</formula>
    </cfRule>
    <cfRule type="cellIs" dxfId="10751" priority="14993" stopIfTrue="1" operator="between">
      <formula>0</formula>
      <formula>0.255</formula>
    </cfRule>
  </conditionalFormatting>
  <conditionalFormatting sqref="AF165:AI165 R165 Y165">
    <cfRule type="cellIs" dxfId="10750" priority="14984" operator="between">
      <formula>0.76</formula>
      <formula>0.95</formula>
    </cfRule>
    <cfRule type="cellIs" dxfId="10749" priority="14985" operator="between">
      <formula>0.51</formula>
      <formula>0.75</formula>
    </cfRule>
    <cfRule type="cellIs" dxfId="10748" priority="14986" operator="greaterThan">
      <formula>1</formula>
    </cfRule>
    <cfRule type="cellIs" dxfId="10747" priority="14987" operator="between">
      <formula>0.95</formula>
      <formula>1</formula>
    </cfRule>
    <cfRule type="cellIs" dxfId="10746" priority="14988" stopIfTrue="1" operator="between">
      <formula>0</formula>
      <formula>0.5</formula>
    </cfRule>
  </conditionalFormatting>
  <conditionalFormatting sqref="T165">
    <cfRule type="cellIs" dxfId="10745" priority="14979" operator="between">
      <formula>0.3751</formula>
      <formula>0.475</formula>
    </cfRule>
    <cfRule type="cellIs" dxfId="10744" priority="14980" operator="between">
      <formula>0.2551</formula>
      <formula>0.375</formula>
    </cfRule>
    <cfRule type="cellIs" dxfId="10743" priority="14981" operator="greaterThan">
      <formula>0.505</formula>
    </cfRule>
    <cfRule type="cellIs" dxfId="10742" priority="14982" operator="between">
      <formula>0.48</formula>
      <formula>0.5</formula>
    </cfRule>
    <cfRule type="cellIs" dxfId="10741" priority="14983" stopIfTrue="1" operator="between">
      <formula>0</formula>
      <formula>0.255</formula>
    </cfRule>
  </conditionalFormatting>
  <conditionalFormatting sqref="AA165:AB165">
    <cfRule type="cellIs" dxfId="10740" priority="14974" operator="between">
      <formula>0.56251</formula>
      <formula>0.7125</formula>
    </cfRule>
    <cfRule type="cellIs" dxfId="10739" priority="14975" operator="between">
      <formula>0.3751</formula>
      <formula>0.5625</formula>
    </cfRule>
    <cfRule type="cellIs" dxfId="10738" priority="14976" operator="greaterThan">
      <formula>0.751</formula>
    </cfRule>
    <cfRule type="cellIs" dxfId="10737" priority="14977" operator="between">
      <formula>0.71251</formula>
      <formula>0.75</formula>
    </cfRule>
    <cfRule type="cellIs" dxfId="10736" priority="14978" stopIfTrue="1" operator="between">
      <formula>0</formula>
      <formula>0.375</formula>
    </cfRule>
  </conditionalFormatting>
  <conditionalFormatting sqref="U165">
    <cfRule type="cellIs" dxfId="10735" priority="14964" operator="between">
      <formula>0.376</formula>
      <formula>0.475</formula>
    </cfRule>
    <cfRule type="cellIs" dxfId="10734" priority="14965" operator="between">
      <formula>0.2551</formula>
      <formula>0.3751</formula>
    </cfRule>
    <cfRule type="cellIs" dxfId="10733" priority="14966" operator="greaterThan">
      <formula>0.505</formula>
    </cfRule>
    <cfRule type="cellIs" dxfId="10732" priority="14967" operator="between">
      <formula>0.48</formula>
      <formula>0.5</formula>
    </cfRule>
    <cfRule type="cellIs" dxfId="10731" priority="14968" stopIfTrue="1" operator="between">
      <formula>0</formula>
      <formula>0.255</formula>
    </cfRule>
  </conditionalFormatting>
  <conditionalFormatting sqref="AC165">
    <cfRule type="cellIs" dxfId="10730" priority="14939" operator="between">
      <formula>0.56251</formula>
      <formula>0.7125</formula>
    </cfRule>
    <cfRule type="cellIs" dxfId="10729" priority="14940" operator="between">
      <formula>0.3751</formula>
      <formula>0.5625</formula>
    </cfRule>
    <cfRule type="cellIs" dxfId="10728" priority="14941" operator="greaterThan">
      <formula>0.751</formula>
    </cfRule>
    <cfRule type="cellIs" dxfId="10727" priority="14942" operator="between">
      <formula>0.71251</formula>
      <formula>0.75</formula>
    </cfRule>
    <cfRule type="cellIs" dxfId="10726" priority="14943" stopIfTrue="1" operator="between">
      <formula>0</formula>
      <formula>0.375</formula>
    </cfRule>
  </conditionalFormatting>
  <conditionalFormatting sqref="V165">
    <cfRule type="cellIs" dxfId="10725" priority="14929" operator="between">
      <formula>0.376</formula>
      <formula>0.475</formula>
    </cfRule>
    <cfRule type="cellIs" dxfId="10724" priority="14930" operator="between">
      <formula>0.2551</formula>
      <formula>0.3751</formula>
    </cfRule>
    <cfRule type="cellIs" dxfId="10723" priority="14931" operator="greaterThan">
      <formula>0.505</formula>
    </cfRule>
    <cfRule type="cellIs" dxfId="10722" priority="14932" operator="between">
      <formula>0.48</formula>
      <formula>0.5</formula>
    </cfRule>
    <cfRule type="cellIs" dxfId="10721" priority="14933" stopIfTrue="1" operator="between">
      <formula>0</formula>
      <formula>0.255</formula>
    </cfRule>
  </conditionalFormatting>
  <conditionalFormatting sqref="Z165">
    <cfRule type="cellIs" dxfId="10720" priority="14804" operator="between">
      <formula>0.76</formula>
      <formula>0.95</formula>
    </cfRule>
    <cfRule type="cellIs" dxfId="10719" priority="14805" operator="between">
      <formula>0.51</formula>
      <formula>0.75</formula>
    </cfRule>
    <cfRule type="cellIs" dxfId="10718" priority="14806" operator="greaterThan">
      <formula>1</formula>
    </cfRule>
    <cfRule type="cellIs" dxfId="10717" priority="14807" operator="between">
      <formula>0.95</formula>
      <formula>1</formula>
    </cfRule>
    <cfRule type="cellIs" dxfId="10716" priority="14808" stopIfTrue="1" operator="between">
      <formula>0</formula>
      <formula>0.5</formula>
    </cfRule>
  </conditionalFormatting>
  <conditionalFormatting sqref="S165">
    <cfRule type="cellIs" dxfId="10715" priority="14799" operator="between">
      <formula>0.76</formula>
      <formula>0.95</formula>
    </cfRule>
    <cfRule type="cellIs" dxfId="10714" priority="14800" operator="between">
      <formula>0.51</formula>
      <formula>0.75</formula>
    </cfRule>
    <cfRule type="cellIs" dxfId="10713" priority="14801" operator="greaterThan">
      <formula>1</formula>
    </cfRule>
    <cfRule type="cellIs" dxfId="10712" priority="14802" operator="between">
      <formula>0.95</formula>
      <formula>1</formula>
    </cfRule>
    <cfRule type="cellIs" dxfId="10711" priority="14803" stopIfTrue="1" operator="between">
      <formula>0</formula>
      <formula>0.5</formula>
    </cfRule>
  </conditionalFormatting>
  <conditionalFormatting sqref="V168">
    <cfRule type="cellIs" dxfId="10710" priority="14727" operator="between">
      <formula>0.376</formula>
      <formula>0.475</formula>
    </cfRule>
    <cfRule type="cellIs" dxfId="10709" priority="14728" operator="between">
      <formula>0.2551</formula>
      <formula>0.3751</formula>
    </cfRule>
    <cfRule type="cellIs" dxfId="10708" priority="14729" operator="greaterThan">
      <formula>0.505</formula>
    </cfRule>
    <cfRule type="cellIs" dxfId="10707" priority="14730" operator="between">
      <formula>0.48</formula>
      <formula>0.5</formula>
    </cfRule>
    <cfRule type="cellIs" dxfId="10706" priority="14731" stopIfTrue="1" operator="between">
      <formula>0</formula>
      <formula>0.255</formula>
    </cfRule>
  </conditionalFormatting>
  <conditionalFormatting sqref="S168">
    <cfRule type="cellIs" dxfId="10705" priority="14717" operator="between">
      <formula>0.76</formula>
      <formula>0.95</formula>
    </cfRule>
    <cfRule type="cellIs" dxfId="10704" priority="14718" operator="between">
      <formula>0.51</formula>
      <formula>0.75</formula>
    </cfRule>
    <cfRule type="cellIs" dxfId="10703" priority="14719" operator="greaterThan">
      <formula>1</formula>
    </cfRule>
    <cfRule type="cellIs" dxfId="10702" priority="14720" operator="between">
      <formula>0.95</formula>
      <formula>1</formula>
    </cfRule>
    <cfRule type="cellIs" dxfId="10701" priority="14721" stopIfTrue="1" operator="between">
      <formula>0</formula>
      <formula>0.5</formula>
    </cfRule>
  </conditionalFormatting>
  <conditionalFormatting sqref="S233">
    <cfRule type="cellIs" dxfId="10700" priority="14702" operator="between">
      <formula>0.76</formula>
      <formula>0.95</formula>
    </cfRule>
    <cfRule type="cellIs" dxfId="10699" priority="14703" operator="between">
      <formula>0.51</formula>
      <formula>0.75</formula>
    </cfRule>
    <cfRule type="cellIs" dxfId="10698" priority="14704" operator="greaterThan">
      <formula>1</formula>
    </cfRule>
    <cfRule type="cellIs" dxfId="10697" priority="14705" operator="between">
      <formula>0.95</formula>
      <formula>1</formula>
    </cfRule>
    <cfRule type="cellIs" dxfId="10696" priority="14706" stopIfTrue="1" operator="between">
      <formula>0</formula>
      <formula>0.5</formula>
    </cfRule>
  </conditionalFormatting>
  <conditionalFormatting sqref="V233">
    <cfRule type="cellIs" dxfId="10695" priority="14697" operator="between">
      <formula>0.376</formula>
      <formula>0.475</formula>
    </cfRule>
    <cfRule type="cellIs" dxfId="10694" priority="14698" operator="between">
      <formula>0.2551</formula>
      <formula>0.3751</formula>
    </cfRule>
    <cfRule type="cellIs" dxfId="10693" priority="14699" operator="greaterThan">
      <formula>0.505</formula>
    </cfRule>
    <cfRule type="cellIs" dxfId="10692" priority="14700" operator="between">
      <formula>0.48</formula>
      <formula>0.5</formula>
    </cfRule>
    <cfRule type="cellIs" dxfId="10691" priority="14701" stopIfTrue="1" operator="between">
      <formula>0</formula>
      <formula>0.255</formula>
    </cfRule>
  </conditionalFormatting>
  <conditionalFormatting sqref="R169:R170 Y169:Z170 AF169:AI170">
    <cfRule type="cellIs" dxfId="10690" priority="14661" operator="between">
      <formula>0.76</formula>
      <formula>0.95</formula>
    </cfRule>
    <cfRule type="cellIs" dxfId="10689" priority="14662" operator="between">
      <formula>0.51</formula>
      <formula>0.75</formula>
    </cfRule>
    <cfRule type="cellIs" dxfId="10688" priority="14663" operator="greaterThan">
      <formula>1</formula>
    </cfRule>
    <cfRule type="cellIs" dxfId="10687" priority="14664" operator="between">
      <formula>0.95</formula>
      <formula>1</formula>
    </cfRule>
    <cfRule type="cellIs" dxfId="10686" priority="14665" stopIfTrue="1" operator="between">
      <formula>0</formula>
      <formula>0.5</formula>
    </cfRule>
  </conditionalFormatting>
  <conditionalFormatting sqref="T169:T170">
    <cfRule type="cellIs" dxfId="10685" priority="14656" operator="between">
      <formula>0.3751</formula>
      <formula>0.475</formula>
    </cfRule>
    <cfRule type="cellIs" dxfId="10684" priority="14657" operator="between">
      <formula>0.2551</formula>
      <formula>0.375</formula>
    </cfRule>
    <cfRule type="cellIs" dxfId="10683" priority="14658" operator="greaterThan">
      <formula>0.505</formula>
    </cfRule>
    <cfRule type="cellIs" dxfId="10682" priority="14659" operator="between">
      <formula>0.48</formula>
      <formula>0.5</formula>
    </cfRule>
    <cfRule type="cellIs" dxfId="10681" priority="14660" stopIfTrue="1" operator="between">
      <formula>0</formula>
      <formula>0.255</formula>
    </cfRule>
  </conditionalFormatting>
  <conditionalFormatting sqref="AA169:AC170">
    <cfRule type="cellIs" dxfId="10680" priority="14651" operator="between">
      <formula>0.56251</formula>
      <formula>0.7125</formula>
    </cfRule>
    <cfRule type="cellIs" dxfId="10679" priority="14652" operator="between">
      <formula>0.3751</formula>
      <formula>0.5625</formula>
    </cfRule>
    <cfRule type="cellIs" dxfId="10678" priority="14653" operator="greaterThan">
      <formula>0.751</formula>
    </cfRule>
    <cfRule type="cellIs" dxfId="10677" priority="14654" operator="between">
      <formula>0.71251</formula>
      <formula>0.75</formula>
    </cfRule>
    <cfRule type="cellIs" dxfId="10676" priority="14655" stopIfTrue="1" operator="between">
      <formula>0</formula>
      <formula>0.375</formula>
    </cfRule>
  </conditionalFormatting>
  <conditionalFormatting sqref="U169:U170">
    <cfRule type="cellIs" dxfId="10675" priority="14646" operator="between">
      <formula>0.376</formula>
      <formula>0.475</formula>
    </cfRule>
    <cfRule type="cellIs" dxfId="10674" priority="14647" operator="between">
      <formula>0.2551</formula>
      <formula>0.3751</formula>
    </cfRule>
    <cfRule type="cellIs" dxfId="10673" priority="14648" operator="greaterThan">
      <formula>0.505</formula>
    </cfRule>
    <cfRule type="cellIs" dxfId="10672" priority="14649" operator="between">
      <formula>0.48</formula>
      <formula>0.5</formula>
    </cfRule>
    <cfRule type="cellIs" dxfId="10671" priority="14650" stopIfTrue="1" operator="between">
      <formula>0</formula>
      <formula>0.255</formula>
    </cfRule>
  </conditionalFormatting>
  <conditionalFormatting sqref="V169:V170">
    <cfRule type="cellIs" dxfId="10670" priority="14628" operator="between">
      <formula>0.376</formula>
      <formula>0.475</formula>
    </cfRule>
    <cfRule type="cellIs" dxfId="10669" priority="14629" operator="between">
      <formula>0.2551</formula>
      <formula>0.3751</formula>
    </cfRule>
    <cfRule type="cellIs" dxfId="10668" priority="14630" operator="greaterThan">
      <formula>0.505</formula>
    </cfRule>
    <cfRule type="cellIs" dxfId="10667" priority="14631" operator="between">
      <formula>0.48</formula>
      <formula>0.5</formula>
    </cfRule>
    <cfRule type="cellIs" dxfId="10666" priority="14632" stopIfTrue="1" operator="between">
      <formula>0</formula>
      <formula>0.255</formula>
    </cfRule>
  </conditionalFormatting>
  <conditionalFormatting sqref="S169:S170">
    <cfRule type="cellIs" dxfId="10665" priority="14623" operator="between">
      <formula>0.76</formula>
      <formula>0.95</formula>
    </cfRule>
    <cfRule type="cellIs" dxfId="10664" priority="14624" operator="between">
      <formula>0.51</formula>
      <formula>0.75</formula>
    </cfRule>
    <cfRule type="cellIs" dxfId="10663" priority="14625" operator="greaterThan">
      <formula>1</formula>
    </cfRule>
    <cfRule type="cellIs" dxfId="10662" priority="14626" operator="between">
      <formula>0.95</formula>
      <formula>1</formula>
    </cfRule>
    <cfRule type="cellIs" dxfId="10661" priority="14627" stopIfTrue="1" operator="between">
      <formula>0</formula>
      <formula>0.5</formula>
    </cfRule>
  </conditionalFormatting>
  <conditionalFormatting sqref="R171 Y171:Z171 AF171:AI171">
    <cfRule type="cellIs" dxfId="10660" priority="14618" operator="between">
      <formula>0.76</formula>
      <formula>0.95</formula>
    </cfRule>
    <cfRule type="cellIs" dxfId="10659" priority="14619" operator="between">
      <formula>0.51</formula>
      <formula>0.75</formula>
    </cfRule>
    <cfRule type="cellIs" dxfId="10658" priority="14620" operator="greaterThan">
      <formula>1</formula>
    </cfRule>
    <cfRule type="cellIs" dxfId="10657" priority="14621" operator="between">
      <formula>0.95</formula>
      <formula>1</formula>
    </cfRule>
    <cfRule type="cellIs" dxfId="10656" priority="14622" stopIfTrue="1" operator="between">
      <formula>0</formula>
      <formula>0.5</formula>
    </cfRule>
  </conditionalFormatting>
  <conditionalFormatting sqref="T171">
    <cfRule type="cellIs" dxfId="10655" priority="14613" operator="between">
      <formula>0.3751</formula>
      <formula>0.475</formula>
    </cfRule>
    <cfRule type="cellIs" dxfId="10654" priority="14614" operator="between">
      <formula>0.2551</formula>
      <formula>0.375</formula>
    </cfRule>
    <cfRule type="cellIs" dxfId="10653" priority="14615" operator="greaterThan">
      <formula>0.505</formula>
    </cfRule>
    <cfRule type="cellIs" dxfId="10652" priority="14616" operator="between">
      <formula>0.48</formula>
      <formula>0.5</formula>
    </cfRule>
    <cfRule type="cellIs" dxfId="10651" priority="14617" stopIfTrue="1" operator="between">
      <formula>0</formula>
      <formula>0.255</formula>
    </cfRule>
  </conditionalFormatting>
  <conditionalFormatting sqref="AA171:AC171">
    <cfRule type="cellIs" dxfId="10650" priority="14608" operator="between">
      <formula>0.56251</formula>
      <formula>0.7125</formula>
    </cfRule>
    <cfRule type="cellIs" dxfId="10649" priority="14609" operator="between">
      <formula>0.3751</formula>
      <formula>0.5625</formula>
    </cfRule>
    <cfRule type="cellIs" dxfId="10648" priority="14610" operator="greaterThan">
      <formula>0.751</formula>
    </cfRule>
    <cfRule type="cellIs" dxfId="10647" priority="14611" operator="between">
      <formula>0.71251</formula>
      <formula>0.75</formula>
    </cfRule>
    <cfRule type="cellIs" dxfId="10646" priority="14612" stopIfTrue="1" operator="between">
      <formula>0</formula>
      <formula>0.375</formula>
    </cfRule>
  </conditionalFormatting>
  <conditionalFormatting sqref="U171">
    <cfRule type="cellIs" dxfId="10645" priority="14603" operator="between">
      <formula>0.376</formula>
      <formula>0.475</formula>
    </cfRule>
    <cfRule type="cellIs" dxfId="10644" priority="14604" operator="between">
      <formula>0.2551</formula>
      <formula>0.3751</formula>
    </cfRule>
    <cfRule type="cellIs" dxfId="10643" priority="14605" operator="greaterThan">
      <formula>0.505</formula>
    </cfRule>
    <cfRule type="cellIs" dxfId="10642" priority="14606" operator="between">
      <formula>0.48</formula>
      <formula>0.5</formula>
    </cfRule>
    <cfRule type="cellIs" dxfId="10641" priority="14607" stopIfTrue="1" operator="between">
      <formula>0</formula>
      <formula>0.255</formula>
    </cfRule>
  </conditionalFormatting>
  <conditionalFormatting sqref="V171">
    <cfRule type="cellIs" dxfId="10640" priority="14585" operator="between">
      <formula>0.376</formula>
      <formula>0.475</formula>
    </cfRule>
    <cfRule type="cellIs" dxfId="10639" priority="14586" operator="between">
      <formula>0.2551</formula>
      <formula>0.3751</formula>
    </cfRule>
    <cfRule type="cellIs" dxfId="10638" priority="14587" operator="greaterThan">
      <formula>0.505</formula>
    </cfRule>
    <cfRule type="cellIs" dxfId="10637" priority="14588" operator="between">
      <formula>0.48</formula>
      <formula>0.5</formula>
    </cfRule>
    <cfRule type="cellIs" dxfId="10636" priority="14589" stopIfTrue="1" operator="between">
      <formula>0</formula>
      <formula>0.255</formula>
    </cfRule>
  </conditionalFormatting>
  <conditionalFormatting sqref="S171">
    <cfRule type="cellIs" dxfId="10635" priority="14580" operator="between">
      <formula>0.76</formula>
      <formula>0.95</formula>
    </cfRule>
    <cfRule type="cellIs" dxfId="10634" priority="14581" operator="between">
      <formula>0.51</formula>
      <formula>0.75</formula>
    </cfRule>
    <cfRule type="cellIs" dxfId="10633" priority="14582" operator="greaterThan">
      <formula>1</formula>
    </cfRule>
    <cfRule type="cellIs" dxfId="10632" priority="14583" operator="between">
      <formula>0.95</formula>
      <formula>1</formula>
    </cfRule>
    <cfRule type="cellIs" dxfId="10631" priority="14584" stopIfTrue="1" operator="between">
      <formula>0</formula>
      <formula>0.5</formula>
    </cfRule>
  </conditionalFormatting>
  <conditionalFormatting sqref="R173 Y173:Z173 AF173:AI173 AF175 AH175:AI175 Y175:Z175 R175">
    <cfRule type="cellIs" dxfId="10630" priority="14575" operator="between">
      <formula>0.76</formula>
      <formula>0.95</formula>
    </cfRule>
    <cfRule type="cellIs" dxfId="10629" priority="14576" operator="between">
      <formula>0.51</formula>
      <formula>0.75</formula>
    </cfRule>
    <cfRule type="cellIs" dxfId="10628" priority="14577" operator="greaterThan">
      <formula>1</formula>
    </cfRule>
    <cfRule type="cellIs" dxfId="10627" priority="14578" operator="between">
      <formula>0.95</formula>
      <formula>1</formula>
    </cfRule>
    <cfRule type="cellIs" dxfId="10626" priority="14579" stopIfTrue="1" operator="between">
      <formula>0</formula>
      <formula>0.5</formula>
    </cfRule>
  </conditionalFormatting>
  <conditionalFormatting sqref="T173 T175">
    <cfRule type="cellIs" dxfId="10625" priority="14570" operator="between">
      <formula>0.3751</formula>
      <formula>0.475</formula>
    </cfRule>
    <cfRule type="cellIs" dxfId="10624" priority="14571" operator="between">
      <formula>0.2551</formula>
      <formula>0.375</formula>
    </cfRule>
    <cfRule type="cellIs" dxfId="10623" priority="14572" operator="greaterThan">
      <formula>0.505</formula>
    </cfRule>
    <cfRule type="cellIs" dxfId="10622" priority="14573" operator="between">
      <formula>0.48</formula>
      <formula>0.5</formula>
    </cfRule>
    <cfRule type="cellIs" dxfId="10621" priority="14574" stopIfTrue="1" operator="between">
      <formula>0</formula>
      <formula>0.255</formula>
    </cfRule>
  </conditionalFormatting>
  <conditionalFormatting sqref="AA173:AC173 AA175:AC175">
    <cfRule type="cellIs" dxfId="10620" priority="14565" operator="between">
      <formula>0.56251</formula>
      <formula>0.7125</formula>
    </cfRule>
    <cfRule type="cellIs" dxfId="10619" priority="14566" operator="between">
      <formula>0.3751</formula>
      <formula>0.5625</formula>
    </cfRule>
    <cfRule type="cellIs" dxfId="10618" priority="14567" operator="greaterThan">
      <formula>0.751</formula>
    </cfRule>
    <cfRule type="cellIs" dxfId="10617" priority="14568" operator="between">
      <formula>0.71251</formula>
      <formula>0.75</formula>
    </cfRule>
    <cfRule type="cellIs" dxfId="10616" priority="14569" stopIfTrue="1" operator="between">
      <formula>0</formula>
      <formula>0.375</formula>
    </cfRule>
  </conditionalFormatting>
  <conditionalFormatting sqref="U173 U175">
    <cfRule type="cellIs" dxfId="10615" priority="14560" operator="between">
      <formula>0.376</formula>
      <formula>0.475</formula>
    </cfRule>
    <cfRule type="cellIs" dxfId="10614" priority="14561" operator="between">
      <formula>0.2551</formula>
      <formula>0.3751</formula>
    </cfRule>
    <cfRule type="cellIs" dxfId="10613" priority="14562" operator="greaterThan">
      <formula>0.505</formula>
    </cfRule>
    <cfRule type="cellIs" dxfId="10612" priority="14563" operator="between">
      <formula>0.48</formula>
      <formula>0.5</formula>
    </cfRule>
    <cfRule type="cellIs" dxfId="10611" priority="14564" stopIfTrue="1" operator="between">
      <formula>0</formula>
      <formula>0.255</formula>
    </cfRule>
  </conditionalFormatting>
  <conditionalFormatting sqref="V173">
    <cfRule type="cellIs" dxfId="10610" priority="14542" operator="between">
      <formula>0.376</formula>
      <formula>0.475</formula>
    </cfRule>
    <cfRule type="cellIs" dxfId="10609" priority="14543" operator="between">
      <formula>0.2551</formula>
      <formula>0.3751</formula>
    </cfRule>
    <cfRule type="cellIs" dxfId="10608" priority="14544" operator="greaterThan">
      <formula>0.505</formula>
    </cfRule>
    <cfRule type="cellIs" dxfId="10607" priority="14545" operator="between">
      <formula>0.48</formula>
      <formula>0.5</formula>
    </cfRule>
    <cfRule type="cellIs" dxfId="10606" priority="14546" stopIfTrue="1" operator="between">
      <formula>0</formula>
      <formula>0.255</formula>
    </cfRule>
  </conditionalFormatting>
  <conditionalFormatting sqref="S173">
    <cfRule type="cellIs" dxfId="10605" priority="14537" operator="between">
      <formula>0.76</formula>
      <formula>0.95</formula>
    </cfRule>
    <cfRule type="cellIs" dxfId="10604" priority="14538" operator="between">
      <formula>0.51</formula>
      <formula>0.75</formula>
    </cfRule>
    <cfRule type="cellIs" dxfId="10603" priority="14539" operator="greaterThan">
      <formula>1</formula>
    </cfRule>
    <cfRule type="cellIs" dxfId="10602" priority="14540" operator="between">
      <formula>0.95</formula>
      <formula>1</formula>
    </cfRule>
    <cfRule type="cellIs" dxfId="10601" priority="14541" stopIfTrue="1" operator="between">
      <formula>0</formula>
      <formula>0.5</formula>
    </cfRule>
  </conditionalFormatting>
  <conditionalFormatting sqref="AF40 R40 Y40 AH40:AI40">
    <cfRule type="cellIs" dxfId="10600" priority="14532" operator="between">
      <formula>0.76</formula>
      <formula>0.95</formula>
    </cfRule>
    <cfRule type="cellIs" dxfId="10599" priority="14533" operator="between">
      <formula>0.51</formula>
      <formula>0.75</formula>
    </cfRule>
    <cfRule type="cellIs" dxfId="10598" priority="14534" operator="greaterThan">
      <formula>1</formula>
    </cfRule>
    <cfRule type="cellIs" dxfId="10597" priority="14535" operator="between">
      <formula>0.95</formula>
      <formula>1</formula>
    </cfRule>
    <cfRule type="cellIs" dxfId="10596" priority="14536" stopIfTrue="1" operator="between">
      <formula>0</formula>
      <formula>0.5</formula>
    </cfRule>
  </conditionalFormatting>
  <conditionalFormatting sqref="T40">
    <cfRule type="cellIs" dxfId="10595" priority="14527" operator="between">
      <formula>0.3751</formula>
      <formula>0.475</formula>
    </cfRule>
    <cfRule type="cellIs" dxfId="10594" priority="14528" operator="between">
      <formula>0.2551</formula>
      <formula>0.375</formula>
    </cfRule>
    <cfRule type="cellIs" dxfId="10593" priority="14529" operator="greaterThan">
      <formula>0.505</formula>
    </cfRule>
    <cfRule type="cellIs" dxfId="10592" priority="14530" operator="between">
      <formula>0.48</formula>
      <formula>0.5</formula>
    </cfRule>
    <cfRule type="cellIs" dxfId="10591" priority="14531" stopIfTrue="1" operator="between">
      <formula>0</formula>
      <formula>0.255</formula>
    </cfRule>
  </conditionalFormatting>
  <conditionalFormatting sqref="AA40:AB40">
    <cfRule type="cellIs" dxfId="10590" priority="14522" operator="between">
      <formula>0.56251</formula>
      <formula>0.7125</formula>
    </cfRule>
    <cfRule type="cellIs" dxfId="10589" priority="14523" operator="between">
      <formula>0.3751</formula>
      <formula>0.5625</formula>
    </cfRule>
    <cfRule type="cellIs" dxfId="10588" priority="14524" operator="greaterThan">
      <formula>0.751</formula>
    </cfRule>
    <cfRule type="cellIs" dxfId="10587" priority="14525" operator="between">
      <formula>0.71251</formula>
      <formula>0.75</formula>
    </cfRule>
    <cfRule type="cellIs" dxfId="10586" priority="14526" stopIfTrue="1" operator="between">
      <formula>0</formula>
      <formula>0.375</formula>
    </cfRule>
  </conditionalFormatting>
  <conditionalFormatting sqref="U40">
    <cfRule type="cellIs" dxfId="10585" priority="14512" operator="between">
      <formula>0.376</formula>
      <formula>0.475</formula>
    </cfRule>
    <cfRule type="cellIs" dxfId="10584" priority="14513" operator="between">
      <formula>0.2551</formula>
      <formula>0.3751</formula>
    </cfRule>
    <cfRule type="cellIs" dxfId="10583" priority="14514" operator="greaterThan">
      <formula>0.505</formula>
    </cfRule>
    <cfRule type="cellIs" dxfId="10582" priority="14515" operator="between">
      <formula>0.48</formula>
      <formula>0.5</formula>
    </cfRule>
    <cfRule type="cellIs" dxfId="10581" priority="14516" stopIfTrue="1" operator="between">
      <formula>0</formula>
      <formula>0.255</formula>
    </cfRule>
  </conditionalFormatting>
  <conditionalFormatting sqref="Z40">
    <cfRule type="cellIs" dxfId="10580" priority="14492" operator="between">
      <formula>0.76</formula>
      <formula>0.95</formula>
    </cfRule>
    <cfRule type="cellIs" dxfId="10579" priority="14493" operator="between">
      <formula>0.51</formula>
      <formula>0.75</formula>
    </cfRule>
    <cfRule type="cellIs" dxfId="10578" priority="14494" operator="greaterThan">
      <formula>1</formula>
    </cfRule>
    <cfRule type="cellIs" dxfId="10577" priority="14495" operator="between">
      <formula>0.95</formula>
      <formula>1</formula>
    </cfRule>
    <cfRule type="cellIs" dxfId="10576" priority="14496" stopIfTrue="1" operator="between">
      <formula>0</formula>
      <formula>0.5</formula>
    </cfRule>
  </conditionalFormatting>
  <conditionalFormatting sqref="AC40">
    <cfRule type="cellIs" dxfId="10575" priority="14487" operator="between">
      <formula>0.56251</formula>
      <formula>0.7125</formula>
    </cfRule>
    <cfRule type="cellIs" dxfId="10574" priority="14488" operator="between">
      <formula>0.3751</formula>
      <formula>0.5625</formula>
    </cfRule>
    <cfRule type="cellIs" dxfId="10573" priority="14489" operator="greaterThan">
      <formula>0.751</formula>
    </cfRule>
    <cfRule type="cellIs" dxfId="10572" priority="14490" operator="between">
      <formula>0.71251</formula>
      <formula>0.75</formula>
    </cfRule>
    <cfRule type="cellIs" dxfId="10571" priority="14491" stopIfTrue="1" operator="between">
      <formula>0</formula>
      <formula>0.375</formula>
    </cfRule>
  </conditionalFormatting>
  <conditionalFormatting sqref="S40">
    <cfRule type="cellIs" dxfId="10570" priority="14482" operator="between">
      <formula>0.76</formula>
      <formula>0.95</formula>
    </cfRule>
    <cfRule type="cellIs" dxfId="10569" priority="14483" operator="between">
      <formula>0.51</formula>
      <formula>0.75</formula>
    </cfRule>
    <cfRule type="cellIs" dxfId="10568" priority="14484" operator="greaterThan">
      <formula>1</formula>
    </cfRule>
    <cfRule type="cellIs" dxfId="10567" priority="14485" operator="between">
      <formula>0.95</formula>
      <formula>1</formula>
    </cfRule>
    <cfRule type="cellIs" dxfId="10566" priority="14486" stopIfTrue="1" operator="between">
      <formula>0</formula>
      <formula>0.5</formula>
    </cfRule>
  </conditionalFormatting>
  <conditionalFormatting sqref="V40">
    <cfRule type="cellIs" dxfId="10565" priority="14477" operator="between">
      <formula>0.376</formula>
      <formula>0.475</formula>
    </cfRule>
    <cfRule type="cellIs" dxfId="10564" priority="14478" operator="between">
      <formula>0.2551</formula>
      <formula>0.3751</formula>
    </cfRule>
    <cfRule type="cellIs" dxfId="10563" priority="14479" operator="greaterThan">
      <formula>0.505</formula>
    </cfRule>
    <cfRule type="cellIs" dxfId="10562" priority="14480" operator="between">
      <formula>0.48</formula>
      <formula>0.5</formula>
    </cfRule>
    <cfRule type="cellIs" dxfId="10561" priority="14481" stopIfTrue="1" operator="between">
      <formula>0</formula>
      <formula>0.255</formula>
    </cfRule>
  </conditionalFormatting>
  <conditionalFormatting sqref="AG40">
    <cfRule type="cellIs" dxfId="10560" priority="14472" operator="between">
      <formula>0.76</formula>
      <formula>0.95</formula>
    </cfRule>
    <cfRule type="cellIs" dxfId="10559" priority="14473" operator="between">
      <formula>0.51</formula>
      <formula>0.75</formula>
    </cfRule>
    <cfRule type="cellIs" dxfId="10558" priority="14474" operator="greaterThan">
      <formula>1</formula>
    </cfRule>
    <cfRule type="cellIs" dxfId="10557" priority="14475" operator="between">
      <formula>0.95</formula>
      <formula>1</formula>
    </cfRule>
    <cfRule type="cellIs" dxfId="10556" priority="14476" stopIfTrue="1" operator="between">
      <formula>0</formula>
      <formula>0.5</formula>
    </cfRule>
  </conditionalFormatting>
  <conditionalFormatting sqref="AF42 R42 Y42 AH42:AI42 R47 Y47 AF47 AH47:AI47 R49 Y49 AF49 AH49:AI49 R53 Y53 AF53">
    <cfRule type="cellIs" dxfId="10555" priority="14467" operator="between">
      <formula>0.76</formula>
      <formula>0.95</formula>
    </cfRule>
    <cfRule type="cellIs" dxfId="10554" priority="14468" operator="between">
      <formula>0.51</formula>
      <formula>0.75</formula>
    </cfRule>
    <cfRule type="cellIs" dxfId="10553" priority="14469" operator="greaterThan">
      <formula>1</formula>
    </cfRule>
    <cfRule type="cellIs" dxfId="10552" priority="14470" operator="between">
      <formula>0.95</formula>
      <formula>1</formula>
    </cfRule>
    <cfRule type="cellIs" dxfId="10551" priority="14471" stopIfTrue="1" operator="between">
      <formula>0</formula>
      <formula>0.5</formula>
    </cfRule>
  </conditionalFormatting>
  <conditionalFormatting sqref="T42 T47 T49">
    <cfRule type="cellIs" dxfId="10550" priority="14462" operator="between">
      <formula>0.3751</formula>
      <formula>0.475</formula>
    </cfRule>
    <cfRule type="cellIs" dxfId="10549" priority="14463" operator="between">
      <formula>0.2551</formula>
      <formula>0.375</formula>
    </cfRule>
    <cfRule type="cellIs" dxfId="10548" priority="14464" operator="greaterThan">
      <formula>0.505</formula>
    </cfRule>
    <cfRule type="cellIs" dxfId="10547" priority="14465" operator="between">
      <formula>0.48</formula>
      <formula>0.5</formula>
    </cfRule>
    <cfRule type="cellIs" dxfId="10546" priority="14466" stopIfTrue="1" operator="between">
      <formula>0</formula>
      <formula>0.255</formula>
    </cfRule>
  </conditionalFormatting>
  <conditionalFormatting sqref="AA42:AB42 AA47:AB47 AA49:AB49">
    <cfRule type="cellIs" dxfId="10545" priority="14457" operator="between">
      <formula>0.56251</formula>
      <formula>0.7125</formula>
    </cfRule>
    <cfRule type="cellIs" dxfId="10544" priority="14458" operator="between">
      <formula>0.3751</formula>
      <formula>0.5625</formula>
    </cfRule>
    <cfRule type="cellIs" dxfId="10543" priority="14459" operator="greaterThan">
      <formula>0.751</formula>
    </cfRule>
    <cfRule type="cellIs" dxfId="10542" priority="14460" operator="between">
      <formula>0.71251</formula>
      <formula>0.75</formula>
    </cfRule>
    <cfRule type="cellIs" dxfId="10541" priority="14461" stopIfTrue="1" operator="between">
      <formula>0</formula>
      <formula>0.375</formula>
    </cfRule>
  </conditionalFormatting>
  <conditionalFormatting sqref="U42 U47 U49">
    <cfRule type="cellIs" dxfId="10540" priority="14447" operator="between">
      <formula>0.376</formula>
      <formula>0.475</formula>
    </cfRule>
    <cfRule type="cellIs" dxfId="10539" priority="14448" operator="between">
      <formula>0.2551</formula>
      <formula>0.3751</formula>
    </cfRule>
    <cfRule type="cellIs" dxfId="10538" priority="14449" operator="greaterThan">
      <formula>0.505</formula>
    </cfRule>
    <cfRule type="cellIs" dxfId="10537" priority="14450" operator="between">
      <formula>0.48</formula>
      <formula>0.5</formula>
    </cfRule>
    <cfRule type="cellIs" dxfId="10536" priority="14451" stopIfTrue="1" operator="between">
      <formula>0</formula>
      <formula>0.255</formula>
    </cfRule>
  </conditionalFormatting>
  <conditionalFormatting sqref="Z42 Z47 Z49 Z53">
    <cfRule type="cellIs" dxfId="10535" priority="14427" operator="between">
      <formula>0.76</formula>
      <formula>0.95</formula>
    </cfRule>
    <cfRule type="cellIs" dxfId="10534" priority="14428" operator="between">
      <formula>0.51</formula>
      <formula>0.75</formula>
    </cfRule>
    <cfRule type="cellIs" dxfId="10533" priority="14429" operator="greaterThan">
      <formula>1</formula>
    </cfRule>
    <cfRule type="cellIs" dxfId="10532" priority="14430" operator="between">
      <formula>0.95</formula>
      <formula>1</formula>
    </cfRule>
    <cfRule type="cellIs" dxfId="10531" priority="14431" stopIfTrue="1" operator="between">
      <formula>0</formula>
      <formula>0.5</formula>
    </cfRule>
  </conditionalFormatting>
  <conditionalFormatting sqref="AC42 AC47 AC49">
    <cfRule type="cellIs" dxfId="10530" priority="14422" operator="between">
      <formula>0.56251</formula>
      <formula>0.7125</formula>
    </cfRule>
    <cfRule type="cellIs" dxfId="10529" priority="14423" operator="between">
      <formula>0.3751</formula>
      <formula>0.5625</formula>
    </cfRule>
    <cfRule type="cellIs" dxfId="10528" priority="14424" operator="greaterThan">
      <formula>0.751</formula>
    </cfRule>
    <cfRule type="cellIs" dxfId="10527" priority="14425" operator="between">
      <formula>0.71251</formula>
      <formula>0.75</formula>
    </cfRule>
    <cfRule type="cellIs" dxfId="10526" priority="14426" stopIfTrue="1" operator="between">
      <formula>0</formula>
      <formula>0.375</formula>
    </cfRule>
  </conditionalFormatting>
  <conditionalFormatting sqref="AG42 AG47 AG49 AG53">
    <cfRule type="cellIs" dxfId="10525" priority="14407" operator="between">
      <formula>0.76</formula>
      <formula>0.95</formula>
    </cfRule>
    <cfRule type="cellIs" dxfId="10524" priority="14408" operator="between">
      <formula>0.51</formula>
      <formula>0.75</formula>
    </cfRule>
    <cfRule type="cellIs" dxfId="10523" priority="14409" operator="greaterThan">
      <formula>1</formula>
    </cfRule>
    <cfRule type="cellIs" dxfId="10522" priority="14410" operator="between">
      <formula>0.95</formula>
      <formula>1</formula>
    </cfRule>
    <cfRule type="cellIs" dxfId="10521" priority="14411" stopIfTrue="1" operator="between">
      <formula>0</formula>
      <formula>0.5</formula>
    </cfRule>
  </conditionalFormatting>
  <conditionalFormatting sqref="AF41 R41 Y41 AH41:AI41">
    <cfRule type="cellIs" dxfId="10520" priority="14402" operator="between">
      <formula>0.76</formula>
      <formula>0.95</formula>
    </cfRule>
    <cfRule type="cellIs" dxfId="10519" priority="14403" operator="between">
      <formula>0.51</formula>
      <formula>0.75</formula>
    </cfRule>
    <cfRule type="cellIs" dxfId="10518" priority="14404" operator="greaterThan">
      <formula>1</formula>
    </cfRule>
    <cfRule type="cellIs" dxfId="10517" priority="14405" operator="between">
      <formula>0.95</formula>
      <formula>1</formula>
    </cfRule>
    <cfRule type="cellIs" dxfId="10516" priority="14406" stopIfTrue="1" operator="between">
      <formula>0</formula>
      <formula>0.5</formula>
    </cfRule>
  </conditionalFormatting>
  <conditionalFormatting sqref="T41">
    <cfRule type="cellIs" dxfId="10515" priority="14397" operator="between">
      <formula>0.3751</formula>
      <formula>0.475</formula>
    </cfRule>
    <cfRule type="cellIs" dxfId="10514" priority="14398" operator="between">
      <formula>0.2551</formula>
      <formula>0.375</formula>
    </cfRule>
    <cfRule type="cellIs" dxfId="10513" priority="14399" operator="greaterThan">
      <formula>0.505</formula>
    </cfRule>
    <cfRule type="cellIs" dxfId="10512" priority="14400" operator="between">
      <formula>0.48</formula>
      <formula>0.5</formula>
    </cfRule>
    <cfRule type="cellIs" dxfId="10511" priority="14401" stopIfTrue="1" operator="between">
      <formula>0</formula>
      <formula>0.255</formula>
    </cfRule>
  </conditionalFormatting>
  <conditionalFormatting sqref="AA41:AB41">
    <cfRule type="cellIs" dxfId="10510" priority="14392" operator="between">
      <formula>0.56251</formula>
      <formula>0.7125</formula>
    </cfRule>
    <cfRule type="cellIs" dxfId="10509" priority="14393" operator="between">
      <formula>0.3751</formula>
      <formula>0.5625</formula>
    </cfRule>
    <cfRule type="cellIs" dxfId="10508" priority="14394" operator="greaterThan">
      <formula>0.751</formula>
    </cfRule>
    <cfRule type="cellIs" dxfId="10507" priority="14395" operator="between">
      <formula>0.71251</formula>
      <formula>0.75</formula>
    </cfRule>
    <cfRule type="cellIs" dxfId="10506" priority="14396" stopIfTrue="1" operator="between">
      <formula>0</formula>
      <formula>0.375</formula>
    </cfRule>
  </conditionalFormatting>
  <conditionalFormatting sqref="U41">
    <cfRule type="cellIs" dxfId="10505" priority="14382" operator="between">
      <formula>0.376</formula>
      <formula>0.475</formula>
    </cfRule>
    <cfRule type="cellIs" dxfId="10504" priority="14383" operator="between">
      <formula>0.2551</formula>
      <formula>0.3751</formula>
    </cfRule>
    <cfRule type="cellIs" dxfId="10503" priority="14384" operator="greaterThan">
      <formula>0.505</formula>
    </cfRule>
    <cfRule type="cellIs" dxfId="10502" priority="14385" operator="between">
      <formula>0.48</formula>
      <formula>0.5</formula>
    </cfRule>
    <cfRule type="cellIs" dxfId="10501" priority="14386" stopIfTrue="1" operator="between">
      <formula>0</formula>
      <formula>0.255</formula>
    </cfRule>
  </conditionalFormatting>
  <conditionalFormatting sqref="Z41">
    <cfRule type="cellIs" dxfId="10500" priority="14362" operator="between">
      <formula>0.76</formula>
      <formula>0.95</formula>
    </cfRule>
    <cfRule type="cellIs" dxfId="10499" priority="14363" operator="between">
      <formula>0.51</formula>
      <formula>0.75</formula>
    </cfRule>
    <cfRule type="cellIs" dxfId="10498" priority="14364" operator="greaterThan">
      <formula>1</formula>
    </cfRule>
    <cfRule type="cellIs" dxfId="10497" priority="14365" operator="between">
      <formula>0.95</formula>
      <formula>1</formula>
    </cfRule>
    <cfRule type="cellIs" dxfId="10496" priority="14366" stopIfTrue="1" operator="between">
      <formula>0</formula>
      <formula>0.5</formula>
    </cfRule>
  </conditionalFormatting>
  <conditionalFormatting sqref="AC41">
    <cfRule type="cellIs" dxfId="10495" priority="14357" operator="between">
      <formula>0.56251</formula>
      <formula>0.7125</formula>
    </cfRule>
    <cfRule type="cellIs" dxfId="10494" priority="14358" operator="between">
      <formula>0.3751</formula>
      <formula>0.5625</formula>
    </cfRule>
    <cfRule type="cellIs" dxfId="10493" priority="14359" operator="greaterThan">
      <formula>0.751</formula>
    </cfRule>
    <cfRule type="cellIs" dxfId="10492" priority="14360" operator="between">
      <formula>0.71251</formula>
      <formula>0.75</formula>
    </cfRule>
    <cfRule type="cellIs" dxfId="10491" priority="14361" stopIfTrue="1" operator="between">
      <formula>0</formula>
      <formula>0.375</formula>
    </cfRule>
  </conditionalFormatting>
  <conditionalFormatting sqref="AG41">
    <cfRule type="cellIs" dxfId="10490" priority="14342" operator="between">
      <formula>0.76</formula>
      <formula>0.95</formula>
    </cfRule>
    <cfRule type="cellIs" dxfId="10489" priority="14343" operator="between">
      <formula>0.51</formula>
      <formula>0.75</formula>
    </cfRule>
    <cfRule type="cellIs" dxfId="10488" priority="14344" operator="greaterThan">
      <formula>1</formula>
    </cfRule>
    <cfRule type="cellIs" dxfId="10487" priority="14345" operator="between">
      <formula>0.95</formula>
      <formula>1</formula>
    </cfRule>
    <cfRule type="cellIs" dxfId="10486" priority="14346" stopIfTrue="1" operator="between">
      <formula>0</formula>
      <formula>0.5</formula>
    </cfRule>
  </conditionalFormatting>
  <conditionalFormatting sqref="R58 Y58 AF58 AH58:AI58">
    <cfRule type="cellIs" dxfId="10485" priority="14337" operator="between">
      <formula>0.76</formula>
      <formula>0.95</formula>
    </cfRule>
    <cfRule type="cellIs" dxfId="10484" priority="14338" operator="between">
      <formula>0.51</formula>
      <formula>0.75</formula>
    </cfRule>
    <cfRule type="cellIs" dxfId="10483" priority="14339" operator="greaterThan">
      <formula>1</formula>
    </cfRule>
    <cfRule type="cellIs" dxfId="10482" priority="14340" operator="between">
      <formula>0.95</formula>
      <formula>1</formula>
    </cfRule>
    <cfRule type="cellIs" dxfId="10481" priority="14341" stopIfTrue="1" operator="between">
      <formula>0</formula>
      <formula>0.5</formula>
    </cfRule>
  </conditionalFormatting>
  <conditionalFormatting sqref="T58">
    <cfRule type="cellIs" dxfId="10480" priority="14332" operator="between">
      <formula>0.3751</formula>
      <formula>0.475</formula>
    </cfRule>
    <cfRule type="cellIs" dxfId="10479" priority="14333" operator="between">
      <formula>0.2551</formula>
      <formula>0.375</formula>
    </cfRule>
    <cfRule type="cellIs" dxfId="10478" priority="14334" operator="greaterThan">
      <formula>0.505</formula>
    </cfRule>
    <cfRule type="cellIs" dxfId="10477" priority="14335" operator="between">
      <formula>0.48</formula>
      <formula>0.5</formula>
    </cfRule>
    <cfRule type="cellIs" dxfId="10476" priority="14336" stopIfTrue="1" operator="between">
      <formula>0</formula>
      <formula>0.255</formula>
    </cfRule>
  </conditionalFormatting>
  <conditionalFormatting sqref="AA58:AB58">
    <cfRule type="cellIs" dxfId="10475" priority="14327" operator="between">
      <formula>0.56251</formula>
      <formula>0.7125</formula>
    </cfRule>
    <cfRule type="cellIs" dxfId="10474" priority="14328" operator="between">
      <formula>0.3751</formula>
      <formula>0.5625</formula>
    </cfRule>
    <cfRule type="cellIs" dxfId="10473" priority="14329" operator="greaterThan">
      <formula>0.751</formula>
    </cfRule>
    <cfRule type="cellIs" dxfId="10472" priority="14330" operator="between">
      <formula>0.71251</formula>
      <formula>0.75</formula>
    </cfRule>
    <cfRule type="cellIs" dxfId="10471" priority="14331" stopIfTrue="1" operator="between">
      <formula>0</formula>
      <formula>0.375</formula>
    </cfRule>
  </conditionalFormatting>
  <conditionalFormatting sqref="U58">
    <cfRule type="cellIs" dxfId="10470" priority="14317" operator="between">
      <formula>0.376</formula>
      <formula>0.475</formula>
    </cfRule>
    <cfRule type="cellIs" dxfId="10469" priority="14318" operator="between">
      <formula>0.2551</formula>
      <formula>0.3751</formula>
    </cfRule>
    <cfRule type="cellIs" dxfId="10468" priority="14319" operator="greaterThan">
      <formula>0.505</formula>
    </cfRule>
    <cfRule type="cellIs" dxfId="10467" priority="14320" operator="between">
      <formula>0.48</formula>
      <formula>0.5</formula>
    </cfRule>
    <cfRule type="cellIs" dxfId="10466" priority="14321" stopIfTrue="1" operator="between">
      <formula>0</formula>
      <formula>0.255</formula>
    </cfRule>
  </conditionalFormatting>
  <conditionalFormatting sqref="Z58">
    <cfRule type="cellIs" dxfId="10465" priority="14297" operator="between">
      <formula>0.76</formula>
      <formula>0.95</formula>
    </cfRule>
    <cfRule type="cellIs" dxfId="10464" priority="14298" operator="between">
      <formula>0.51</formula>
      <formula>0.75</formula>
    </cfRule>
    <cfRule type="cellIs" dxfId="10463" priority="14299" operator="greaterThan">
      <formula>1</formula>
    </cfRule>
    <cfRule type="cellIs" dxfId="10462" priority="14300" operator="between">
      <formula>0.95</formula>
      <formula>1</formula>
    </cfRule>
    <cfRule type="cellIs" dxfId="10461" priority="14301" stopIfTrue="1" operator="between">
      <formula>0</formula>
      <formula>0.5</formula>
    </cfRule>
  </conditionalFormatting>
  <conditionalFormatting sqref="AC58">
    <cfRule type="cellIs" dxfId="10460" priority="14292" operator="between">
      <formula>0.56251</formula>
      <formula>0.7125</formula>
    </cfRule>
    <cfRule type="cellIs" dxfId="10459" priority="14293" operator="between">
      <formula>0.3751</formula>
      <formula>0.5625</formula>
    </cfRule>
    <cfRule type="cellIs" dxfId="10458" priority="14294" operator="greaterThan">
      <formula>0.751</formula>
    </cfRule>
    <cfRule type="cellIs" dxfId="10457" priority="14295" operator="between">
      <formula>0.71251</formula>
      <formula>0.75</formula>
    </cfRule>
    <cfRule type="cellIs" dxfId="10456" priority="14296" stopIfTrue="1" operator="between">
      <formula>0</formula>
      <formula>0.375</formula>
    </cfRule>
  </conditionalFormatting>
  <conditionalFormatting sqref="AG58">
    <cfRule type="cellIs" dxfId="10455" priority="14277" operator="between">
      <formula>0.76</formula>
      <formula>0.95</formula>
    </cfRule>
    <cfRule type="cellIs" dxfId="10454" priority="14278" operator="between">
      <formula>0.51</formula>
      <formula>0.75</formula>
    </cfRule>
    <cfRule type="cellIs" dxfId="10453" priority="14279" operator="greaterThan">
      <formula>1</formula>
    </cfRule>
    <cfRule type="cellIs" dxfId="10452" priority="14280" operator="between">
      <formula>0.95</formula>
      <formula>1</formula>
    </cfRule>
    <cfRule type="cellIs" dxfId="10451" priority="14281" stopIfTrue="1" operator="between">
      <formula>0</formula>
      <formula>0.5</formula>
    </cfRule>
  </conditionalFormatting>
  <conditionalFormatting sqref="S44">
    <cfRule type="cellIs" dxfId="10450" priority="14182" operator="between">
      <formula>0.76</formula>
      <formula>0.95</formula>
    </cfRule>
    <cfRule type="cellIs" dxfId="10449" priority="14183" operator="between">
      <formula>0.51</formula>
      <formula>0.75</formula>
    </cfRule>
    <cfRule type="cellIs" dxfId="10448" priority="14184" operator="greaterThan">
      <formula>1</formula>
    </cfRule>
    <cfRule type="cellIs" dxfId="10447" priority="14185" operator="between">
      <formula>0.95</formula>
      <formula>1</formula>
    </cfRule>
    <cfRule type="cellIs" dxfId="10446" priority="14186" stopIfTrue="1" operator="between">
      <formula>0</formula>
      <formula>0.5</formula>
    </cfRule>
  </conditionalFormatting>
  <conditionalFormatting sqref="V44">
    <cfRule type="cellIs" dxfId="10445" priority="14177" operator="between">
      <formula>0.376</formula>
      <formula>0.475</formula>
    </cfRule>
    <cfRule type="cellIs" dxfId="10444" priority="14178" operator="between">
      <formula>0.2551</formula>
      <formula>0.3751</formula>
    </cfRule>
    <cfRule type="cellIs" dxfId="10443" priority="14179" operator="greaterThan">
      <formula>0.505</formula>
    </cfRule>
    <cfRule type="cellIs" dxfId="10442" priority="14180" operator="between">
      <formula>0.48</formula>
      <formula>0.5</formula>
    </cfRule>
    <cfRule type="cellIs" dxfId="10441" priority="14181" stopIfTrue="1" operator="between">
      <formula>0</formula>
      <formula>0.255</formula>
    </cfRule>
  </conditionalFormatting>
  <conditionalFormatting sqref="S47">
    <cfRule type="cellIs" dxfId="10440" priority="14142" operator="between">
      <formula>0.76</formula>
      <formula>0.95</formula>
    </cfRule>
    <cfRule type="cellIs" dxfId="10439" priority="14143" operator="between">
      <formula>0.51</formula>
      <formula>0.75</formula>
    </cfRule>
    <cfRule type="cellIs" dxfId="10438" priority="14144" operator="greaterThan">
      <formula>1</formula>
    </cfRule>
    <cfRule type="cellIs" dxfId="10437" priority="14145" operator="between">
      <formula>0.95</formula>
      <formula>1</formula>
    </cfRule>
    <cfRule type="cellIs" dxfId="10436" priority="14146" stopIfTrue="1" operator="between">
      <formula>0</formula>
      <formula>0.5</formula>
    </cfRule>
  </conditionalFormatting>
  <conditionalFormatting sqref="V47">
    <cfRule type="cellIs" dxfId="10435" priority="14137" operator="between">
      <formula>0.376</formula>
      <formula>0.475</formula>
    </cfRule>
    <cfRule type="cellIs" dxfId="10434" priority="14138" operator="between">
      <formula>0.2551</formula>
      <formula>0.3751</formula>
    </cfRule>
    <cfRule type="cellIs" dxfId="10433" priority="14139" operator="greaterThan">
      <formula>0.505</formula>
    </cfRule>
    <cfRule type="cellIs" dxfId="10432" priority="14140" operator="between">
      <formula>0.48</formula>
      <formula>0.5</formula>
    </cfRule>
    <cfRule type="cellIs" dxfId="10431" priority="14141" stopIfTrue="1" operator="between">
      <formula>0</formula>
      <formula>0.255</formula>
    </cfRule>
  </conditionalFormatting>
  <conditionalFormatting sqref="S41">
    <cfRule type="cellIs" dxfId="10430" priority="14117" operator="between">
      <formula>0.76</formula>
      <formula>0.95</formula>
    </cfRule>
    <cfRule type="cellIs" dxfId="10429" priority="14118" operator="between">
      <formula>0.51</formula>
      <formula>0.75</formula>
    </cfRule>
    <cfRule type="cellIs" dxfId="10428" priority="14119" operator="greaterThan">
      <formula>1</formula>
    </cfRule>
    <cfRule type="cellIs" dxfId="10427" priority="14120" operator="between">
      <formula>0.95</formula>
      <formula>1</formula>
    </cfRule>
    <cfRule type="cellIs" dxfId="10426" priority="14121" stopIfTrue="1" operator="between">
      <formula>0</formula>
      <formula>0.5</formula>
    </cfRule>
  </conditionalFormatting>
  <conditionalFormatting sqref="S42">
    <cfRule type="cellIs" dxfId="10425" priority="14112" operator="between">
      <formula>0.76</formula>
      <formula>0.95</formula>
    </cfRule>
    <cfRule type="cellIs" dxfId="10424" priority="14113" operator="between">
      <formula>0.51</formula>
      <formula>0.75</formula>
    </cfRule>
    <cfRule type="cellIs" dxfId="10423" priority="14114" operator="greaterThan">
      <formula>1</formula>
    </cfRule>
    <cfRule type="cellIs" dxfId="10422" priority="14115" operator="between">
      <formula>0.95</formula>
      <formula>1</formula>
    </cfRule>
    <cfRule type="cellIs" dxfId="10421" priority="14116" stopIfTrue="1" operator="between">
      <formula>0</formula>
      <formula>0.5</formula>
    </cfRule>
  </conditionalFormatting>
  <conditionalFormatting sqref="S43">
    <cfRule type="cellIs" dxfId="10420" priority="14102" operator="between">
      <formula>0.76</formula>
      <formula>0.95</formula>
    </cfRule>
    <cfRule type="cellIs" dxfId="10419" priority="14103" operator="between">
      <formula>0.51</formula>
      <formula>0.75</formula>
    </cfRule>
    <cfRule type="cellIs" dxfId="10418" priority="14104" operator="greaterThan">
      <formula>1</formula>
    </cfRule>
    <cfRule type="cellIs" dxfId="10417" priority="14105" operator="between">
      <formula>0.95</formula>
      <formula>1</formula>
    </cfRule>
    <cfRule type="cellIs" dxfId="10416" priority="14106" stopIfTrue="1" operator="between">
      <formula>0</formula>
      <formula>0.5</formula>
    </cfRule>
  </conditionalFormatting>
  <conditionalFormatting sqref="S49">
    <cfRule type="cellIs" dxfId="10415" priority="14097" operator="between">
      <formula>0.76</formula>
      <formula>0.95</formula>
    </cfRule>
    <cfRule type="cellIs" dxfId="10414" priority="14098" operator="between">
      <formula>0.51</formula>
      <formula>0.75</formula>
    </cfRule>
    <cfRule type="cellIs" dxfId="10413" priority="14099" operator="greaterThan">
      <formula>1</formula>
    </cfRule>
    <cfRule type="cellIs" dxfId="10412" priority="14100" operator="between">
      <formula>0.95</formula>
      <formula>1</formula>
    </cfRule>
    <cfRule type="cellIs" dxfId="10411" priority="14101" stopIfTrue="1" operator="between">
      <formula>0</formula>
      <formula>0.5</formula>
    </cfRule>
  </conditionalFormatting>
  <conditionalFormatting sqref="V41">
    <cfRule type="cellIs" dxfId="10410" priority="14092" operator="between">
      <formula>0.376</formula>
      <formula>0.475</formula>
    </cfRule>
    <cfRule type="cellIs" dxfId="10409" priority="14093" operator="between">
      <formula>0.2551</formula>
      <formula>0.3751</formula>
    </cfRule>
    <cfRule type="cellIs" dxfId="10408" priority="14094" operator="greaterThan">
      <formula>0.505</formula>
    </cfRule>
    <cfRule type="cellIs" dxfId="10407" priority="14095" operator="between">
      <formula>0.48</formula>
      <formula>0.5</formula>
    </cfRule>
    <cfRule type="cellIs" dxfId="10406" priority="14096" stopIfTrue="1" operator="between">
      <formula>0</formula>
      <formula>0.255</formula>
    </cfRule>
  </conditionalFormatting>
  <conditionalFormatting sqref="V42">
    <cfRule type="cellIs" dxfId="10405" priority="14087" operator="between">
      <formula>0.376</formula>
      <formula>0.475</formula>
    </cfRule>
    <cfRule type="cellIs" dxfId="10404" priority="14088" operator="between">
      <formula>0.2551</formula>
      <formula>0.3751</formula>
    </cfRule>
    <cfRule type="cellIs" dxfId="10403" priority="14089" operator="greaterThan">
      <formula>0.505</formula>
    </cfRule>
    <cfRule type="cellIs" dxfId="10402" priority="14090" operator="between">
      <formula>0.48</formula>
      <formula>0.5</formula>
    </cfRule>
    <cfRule type="cellIs" dxfId="10401" priority="14091" stopIfTrue="1" operator="between">
      <formula>0</formula>
      <formula>0.255</formula>
    </cfRule>
  </conditionalFormatting>
  <conditionalFormatting sqref="V43">
    <cfRule type="cellIs" dxfId="10400" priority="14077" operator="between">
      <formula>0.376</formula>
      <formula>0.475</formula>
    </cfRule>
    <cfRule type="cellIs" dxfId="10399" priority="14078" operator="between">
      <formula>0.2551</formula>
      <formula>0.3751</formula>
    </cfRule>
    <cfRule type="cellIs" dxfId="10398" priority="14079" operator="greaterThan">
      <formula>0.505</formula>
    </cfRule>
    <cfRule type="cellIs" dxfId="10397" priority="14080" operator="between">
      <formula>0.48</formula>
      <formula>0.5</formula>
    </cfRule>
    <cfRule type="cellIs" dxfId="10396" priority="14081" stopIfTrue="1" operator="between">
      <formula>0</formula>
      <formula>0.255</formula>
    </cfRule>
  </conditionalFormatting>
  <conditionalFormatting sqref="V49">
    <cfRule type="cellIs" dxfId="10395" priority="14072" operator="between">
      <formula>0.376</formula>
      <formula>0.475</formula>
    </cfRule>
    <cfRule type="cellIs" dxfId="10394" priority="14073" operator="between">
      <formula>0.2551</formula>
      <formula>0.3751</formula>
    </cfRule>
    <cfRule type="cellIs" dxfId="10393" priority="14074" operator="greaterThan">
      <formula>0.505</formula>
    </cfRule>
    <cfRule type="cellIs" dxfId="10392" priority="14075" operator="between">
      <formula>0.48</formula>
      <formula>0.5</formula>
    </cfRule>
    <cfRule type="cellIs" dxfId="10391" priority="14076" stopIfTrue="1" operator="between">
      <formula>0</formula>
      <formula>0.255</formula>
    </cfRule>
  </conditionalFormatting>
  <conditionalFormatting sqref="S53">
    <cfRule type="cellIs" dxfId="10390" priority="14057" operator="between">
      <formula>0.76</formula>
      <formula>0.95</formula>
    </cfRule>
    <cfRule type="cellIs" dxfId="10389" priority="14058" operator="between">
      <formula>0.51</formula>
      <formula>0.75</formula>
    </cfRule>
    <cfRule type="cellIs" dxfId="10388" priority="14059" operator="greaterThan">
      <formula>1</formula>
    </cfRule>
    <cfRule type="cellIs" dxfId="10387" priority="14060" operator="between">
      <formula>0.95</formula>
      <formula>1</formula>
    </cfRule>
    <cfRule type="cellIs" dxfId="10386" priority="14061" stopIfTrue="1" operator="between">
      <formula>0</formula>
      <formula>0.5</formula>
    </cfRule>
  </conditionalFormatting>
  <conditionalFormatting sqref="S56">
    <cfRule type="cellIs" dxfId="10385" priority="14037" operator="between">
      <formula>0.76</formula>
      <formula>0.95</formula>
    </cfRule>
    <cfRule type="cellIs" dxfId="10384" priority="14038" operator="between">
      <formula>0.51</formula>
      <formula>0.75</formula>
    </cfRule>
    <cfRule type="cellIs" dxfId="10383" priority="14039" operator="greaterThan">
      <formula>1</formula>
    </cfRule>
    <cfRule type="cellIs" dxfId="10382" priority="14040" operator="between">
      <formula>0.95</formula>
      <formula>1</formula>
    </cfRule>
    <cfRule type="cellIs" dxfId="10381" priority="14041" stopIfTrue="1" operator="between">
      <formula>0</formula>
      <formula>0.5</formula>
    </cfRule>
  </conditionalFormatting>
  <conditionalFormatting sqref="V56">
    <cfRule type="cellIs" dxfId="10380" priority="14022" operator="between">
      <formula>0.376</formula>
      <formula>0.475</formula>
    </cfRule>
    <cfRule type="cellIs" dxfId="10379" priority="14023" operator="between">
      <formula>0.2551</formula>
      <formula>0.3751</formula>
    </cfRule>
    <cfRule type="cellIs" dxfId="10378" priority="14024" operator="greaterThan">
      <formula>0.505</formula>
    </cfRule>
    <cfRule type="cellIs" dxfId="10377" priority="14025" operator="between">
      <formula>0.48</formula>
      <formula>0.5</formula>
    </cfRule>
    <cfRule type="cellIs" dxfId="10376" priority="14026" stopIfTrue="1" operator="between">
      <formula>0</formula>
      <formula>0.255</formula>
    </cfRule>
  </conditionalFormatting>
  <conditionalFormatting sqref="S58">
    <cfRule type="cellIs" dxfId="10375" priority="13997" operator="between">
      <formula>0.76</formula>
      <formula>0.95</formula>
    </cfRule>
    <cfRule type="cellIs" dxfId="10374" priority="13998" operator="between">
      <formula>0.51</formula>
      <formula>0.75</formula>
    </cfRule>
    <cfRule type="cellIs" dxfId="10373" priority="13999" operator="greaterThan">
      <formula>1</formula>
    </cfRule>
    <cfRule type="cellIs" dxfId="10372" priority="14000" operator="between">
      <formula>0.95</formula>
      <formula>1</formula>
    </cfRule>
    <cfRule type="cellIs" dxfId="10371" priority="14001" stopIfTrue="1" operator="between">
      <formula>0</formula>
      <formula>0.5</formula>
    </cfRule>
  </conditionalFormatting>
  <conditionalFormatting sqref="V58">
    <cfRule type="cellIs" dxfId="10370" priority="13992" operator="between">
      <formula>0.376</formula>
      <formula>0.475</formula>
    </cfRule>
    <cfRule type="cellIs" dxfId="10369" priority="13993" operator="between">
      <formula>0.2551</formula>
      <formula>0.3751</formula>
    </cfRule>
    <cfRule type="cellIs" dxfId="10368" priority="13994" operator="greaterThan">
      <formula>0.505</formula>
    </cfRule>
    <cfRule type="cellIs" dxfId="10367" priority="13995" operator="between">
      <formula>0.48</formula>
      <formula>0.5</formula>
    </cfRule>
    <cfRule type="cellIs" dxfId="10366" priority="13996" stopIfTrue="1" operator="between">
      <formula>0</formula>
      <formula>0.255</formula>
    </cfRule>
  </conditionalFormatting>
  <conditionalFormatting sqref="R239:R240 Y239:Z240 AF239:AI240">
    <cfRule type="cellIs" dxfId="10365" priority="13987" operator="between">
      <formula>0.76</formula>
      <formula>0.95</formula>
    </cfRule>
    <cfRule type="cellIs" dxfId="10364" priority="13988" operator="between">
      <formula>0.51</formula>
      <formula>0.75</formula>
    </cfRule>
    <cfRule type="cellIs" dxfId="10363" priority="13989" operator="greaterThan">
      <formula>1</formula>
    </cfRule>
    <cfRule type="cellIs" dxfId="10362" priority="13990" operator="between">
      <formula>0.95</formula>
      <formula>1</formula>
    </cfRule>
    <cfRule type="cellIs" dxfId="10361" priority="13991" stopIfTrue="1" operator="between">
      <formula>0</formula>
      <formula>0.5</formula>
    </cfRule>
  </conditionalFormatting>
  <conditionalFormatting sqref="T239:T240">
    <cfRule type="cellIs" dxfId="10360" priority="13982" operator="between">
      <formula>0.3751</formula>
      <formula>0.475</formula>
    </cfRule>
    <cfRule type="cellIs" dxfId="10359" priority="13983" operator="between">
      <formula>0.2551</formula>
      <formula>0.375</formula>
    </cfRule>
    <cfRule type="cellIs" dxfId="10358" priority="13984" operator="greaterThan">
      <formula>0.505</formula>
    </cfRule>
    <cfRule type="cellIs" dxfId="10357" priority="13985" operator="between">
      <formula>0.48</formula>
      <formula>0.5</formula>
    </cfRule>
    <cfRule type="cellIs" dxfId="10356" priority="13986" stopIfTrue="1" operator="between">
      <formula>0</formula>
      <formula>0.255</formula>
    </cfRule>
  </conditionalFormatting>
  <conditionalFormatting sqref="AA239:AC240">
    <cfRule type="cellIs" dxfId="10355" priority="13977" operator="between">
      <formula>0.56251</formula>
      <formula>0.7125</formula>
    </cfRule>
    <cfRule type="cellIs" dxfId="10354" priority="13978" operator="between">
      <formula>0.3751</formula>
      <formula>0.5625</formula>
    </cfRule>
    <cfRule type="cellIs" dxfId="10353" priority="13979" operator="greaterThan">
      <formula>0.751</formula>
    </cfRule>
    <cfRule type="cellIs" dxfId="10352" priority="13980" operator="between">
      <formula>0.71251</formula>
      <formula>0.75</formula>
    </cfRule>
    <cfRule type="cellIs" dxfId="10351" priority="13981" stopIfTrue="1" operator="between">
      <formula>0</formula>
      <formula>0.375</formula>
    </cfRule>
  </conditionalFormatting>
  <conditionalFormatting sqref="U239:U240">
    <cfRule type="cellIs" dxfId="10350" priority="13967" operator="between">
      <formula>0.376</formula>
      <formula>0.475</formula>
    </cfRule>
    <cfRule type="cellIs" dxfId="10349" priority="13968" operator="between">
      <formula>0.2551</formula>
      <formula>0.3751</formula>
    </cfRule>
    <cfRule type="cellIs" dxfId="10348" priority="13969" operator="greaterThan">
      <formula>0.505</formula>
    </cfRule>
    <cfRule type="cellIs" dxfId="10347" priority="13970" operator="between">
      <formula>0.48</formula>
      <formula>0.5</formula>
    </cfRule>
    <cfRule type="cellIs" dxfId="10346" priority="13971" stopIfTrue="1" operator="between">
      <formula>0</formula>
      <formula>0.255</formula>
    </cfRule>
  </conditionalFormatting>
  <conditionalFormatting sqref="S239:S240">
    <cfRule type="cellIs" dxfId="10345" priority="13939" operator="between">
      <formula>0.76</formula>
      <formula>0.95</formula>
    </cfRule>
    <cfRule type="cellIs" dxfId="10344" priority="13940" operator="between">
      <formula>0.51</formula>
      <formula>0.75</formula>
    </cfRule>
    <cfRule type="cellIs" dxfId="10343" priority="13941" operator="greaterThan">
      <formula>1</formula>
    </cfRule>
    <cfRule type="cellIs" dxfId="10342" priority="13942" operator="between">
      <formula>0.95</formula>
      <formula>1</formula>
    </cfRule>
    <cfRule type="cellIs" dxfId="10341" priority="13943" stopIfTrue="1" operator="between">
      <formula>0</formula>
      <formula>0.5</formula>
    </cfRule>
  </conditionalFormatting>
  <conditionalFormatting sqref="V239:V240">
    <cfRule type="cellIs" dxfId="10340" priority="13934" operator="between">
      <formula>0.376</formula>
      <formula>0.475</formula>
    </cfRule>
    <cfRule type="cellIs" dxfId="10339" priority="13935" operator="between">
      <formula>0.2551</formula>
      <formula>0.3751</formula>
    </cfRule>
    <cfRule type="cellIs" dxfId="10338" priority="13936" operator="greaterThan">
      <formula>0.505</formula>
    </cfRule>
    <cfRule type="cellIs" dxfId="10337" priority="13937" operator="between">
      <formula>0.48</formula>
      <formula>0.5</formula>
    </cfRule>
    <cfRule type="cellIs" dxfId="10336" priority="13938" stopIfTrue="1" operator="between">
      <formula>0</formula>
      <formula>0.255</formula>
    </cfRule>
  </conditionalFormatting>
  <conditionalFormatting sqref="R241 Y241:Z241 AF241:AI241">
    <cfRule type="cellIs" dxfId="10335" priority="13929" operator="between">
      <formula>0.76</formula>
      <formula>0.95</formula>
    </cfRule>
    <cfRule type="cellIs" dxfId="10334" priority="13930" operator="between">
      <formula>0.51</formula>
      <formula>0.75</formula>
    </cfRule>
    <cfRule type="cellIs" dxfId="10333" priority="13931" operator="greaterThan">
      <formula>1</formula>
    </cfRule>
    <cfRule type="cellIs" dxfId="10332" priority="13932" operator="between">
      <formula>0.95</formula>
      <formula>1</formula>
    </cfRule>
    <cfRule type="cellIs" dxfId="10331" priority="13933" stopIfTrue="1" operator="between">
      <formula>0</formula>
      <formula>0.5</formula>
    </cfRule>
  </conditionalFormatting>
  <conditionalFormatting sqref="T241">
    <cfRule type="cellIs" dxfId="10330" priority="13924" operator="between">
      <formula>0.3751</formula>
      <formula>0.475</formula>
    </cfRule>
    <cfRule type="cellIs" dxfId="10329" priority="13925" operator="between">
      <formula>0.2551</formula>
      <formula>0.375</formula>
    </cfRule>
    <cfRule type="cellIs" dxfId="10328" priority="13926" operator="greaterThan">
      <formula>0.505</formula>
    </cfRule>
    <cfRule type="cellIs" dxfId="10327" priority="13927" operator="between">
      <formula>0.48</formula>
      <formula>0.5</formula>
    </cfRule>
    <cfRule type="cellIs" dxfId="10326" priority="13928" stopIfTrue="1" operator="between">
      <formula>0</formula>
      <formula>0.255</formula>
    </cfRule>
  </conditionalFormatting>
  <conditionalFormatting sqref="AA241:AC241">
    <cfRule type="cellIs" dxfId="10325" priority="13919" operator="between">
      <formula>0.56251</formula>
      <formula>0.7125</formula>
    </cfRule>
    <cfRule type="cellIs" dxfId="10324" priority="13920" operator="between">
      <formula>0.3751</formula>
      <formula>0.5625</formula>
    </cfRule>
    <cfRule type="cellIs" dxfId="10323" priority="13921" operator="greaterThan">
      <formula>0.751</formula>
    </cfRule>
    <cfRule type="cellIs" dxfId="10322" priority="13922" operator="between">
      <formula>0.71251</formula>
      <formula>0.75</formula>
    </cfRule>
    <cfRule type="cellIs" dxfId="10321" priority="13923" stopIfTrue="1" operator="between">
      <formula>0</formula>
      <formula>0.375</formula>
    </cfRule>
  </conditionalFormatting>
  <conditionalFormatting sqref="U241">
    <cfRule type="cellIs" dxfId="10320" priority="13909" operator="between">
      <formula>0.376</formula>
      <formula>0.475</formula>
    </cfRule>
    <cfRule type="cellIs" dxfId="10319" priority="13910" operator="between">
      <formula>0.2551</formula>
      <formula>0.3751</formula>
    </cfRule>
    <cfRule type="cellIs" dxfId="10318" priority="13911" operator="greaterThan">
      <formula>0.505</formula>
    </cfRule>
    <cfRule type="cellIs" dxfId="10317" priority="13912" operator="between">
      <formula>0.48</formula>
      <formula>0.5</formula>
    </cfRule>
    <cfRule type="cellIs" dxfId="10316" priority="13913" stopIfTrue="1" operator="between">
      <formula>0</formula>
      <formula>0.255</formula>
    </cfRule>
  </conditionalFormatting>
  <conditionalFormatting sqref="S241">
    <cfRule type="cellIs" dxfId="10315" priority="13861" operator="between">
      <formula>0.76</formula>
      <formula>0.95</formula>
    </cfRule>
    <cfRule type="cellIs" dxfId="10314" priority="13862" operator="between">
      <formula>0.51</formula>
      <formula>0.75</formula>
    </cfRule>
    <cfRule type="cellIs" dxfId="10313" priority="13863" operator="greaterThan">
      <formula>1</formula>
    </cfRule>
    <cfRule type="cellIs" dxfId="10312" priority="13864" operator="between">
      <formula>0.95</formula>
      <formula>1</formula>
    </cfRule>
    <cfRule type="cellIs" dxfId="10311" priority="13865" stopIfTrue="1" operator="between">
      <formula>0</formula>
      <formula>0.5</formula>
    </cfRule>
  </conditionalFormatting>
  <conditionalFormatting sqref="V241">
    <cfRule type="cellIs" dxfId="10310" priority="13856" operator="between">
      <formula>0.376</formula>
      <formula>0.475</formula>
    </cfRule>
    <cfRule type="cellIs" dxfId="10309" priority="13857" operator="between">
      <formula>0.2551</formula>
      <formula>0.3751</formula>
    </cfRule>
    <cfRule type="cellIs" dxfId="10308" priority="13858" operator="greaterThan">
      <formula>0.505</formula>
    </cfRule>
    <cfRule type="cellIs" dxfId="10307" priority="13859" operator="between">
      <formula>0.48</formula>
      <formula>0.5</formula>
    </cfRule>
    <cfRule type="cellIs" dxfId="10306" priority="13860" stopIfTrue="1" operator="between">
      <formula>0</formula>
      <formula>0.255</formula>
    </cfRule>
  </conditionalFormatting>
  <conditionalFormatting sqref="AF242:AI242">
    <cfRule type="cellIs" dxfId="10305" priority="13851" operator="between">
      <formula>0.76</formula>
      <formula>0.95</formula>
    </cfRule>
    <cfRule type="cellIs" dxfId="10304" priority="13852" operator="between">
      <formula>0.51</formula>
      <formula>0.75</formula>
    </cfRule>
    <cfRule type="cellIs" dxfId="10303" priority="13853" operator="greaterThan">
      <formula>1</formula>
    </cfRule>
    <cfRule type="cellIs" dxfId="10302" priority="13854" operator="between">
      <formula>0.95</formula>
      <formula>1</formula>
    </cfRule>
    <cfRule type="cellIs" dxfId="10301" priority="13855" stopIfTrue="1" operator="between">
      <formula>0</formula>
      <formula>0.5</formula>
    </cfRule>
  </conditionalFormatting>
  <conditionalFormatting sqref="AG243:AG244">
    <cfRule type="cellIs" dxfId="10300" priority="13793" operator="between">
      <formula>0.76</formula>
      <formula>0.95</formula>
    </cfRule>
    <cfRule type="cellIs" dxfId="10299" priority="13794" operator="between">
      <formula>0.51</formula>
      <formula>0.75</formula>
    </cfRule>
    <cfRule type="cellIs" dxfId="10298" priority="13795" operator="greaterThan">
      <formula>1</formula>
    </cfRule>
    <cfRule type="cellIs" dxfId="10297" priority="13796" operator="between">
      <formula>0.95</formula>
      <formula>1</formula>
    </cfRule>
    <cfRule type="cellIs" dxfId="10296" priority="13797" stopIfTrue="1" operator="between">
      <formula>0</formula>
      <formula>0.5</formula>
    </cfRule>
  </conditionalFormatting>
  <conditionalFormatting sqref="S175">
    <cfRule type="cellIs" dxfId="10295" priority="13679" operator="between">
      <formula>0.76</formula>
      <formula>0.95</formula>
    </cfRule>
    <cfRule type="cellIs" dxfId="10294" priority="13680" operator="between">
      <formula>0.51</formula>
      <formula>0.75</formula>
    </cfRule>
    <cfRule type="cellIs" dxfId="10293" priority="13681" operator="greaterThan">
      <formula>1</formula>
    </cfRule>
    <cfRule type="cellIs" dxfId="10292" priority="13682" operator="between">
      <formula>0.95</formula>
      <formula>1</formula>
    </cfRule>
    <cfRule type="cellIs" dxfId="10291" priority="13683" stopIfTrue="1" operator="between">
      <formula>0</formula>
      <formula>0.5</formula>
    </cfRule>
  </conditionalFormatting>
  <conditionalFormatting sqref="V175">
    <cfRule type="cellIs" dxfId="10290" priority="13674" operator="between">
      <formula>0.376</formula>
      <formula>0.475</formula>
    </cfRule>
    <cfRule type="cellIs" dxfId="10289" priority="13675" operator="between">
      <formula>0.2551</formula>
      <formula>0.3751</formula>
    </cfRule>
    <cfRule type="cellIs" dxfId="10288" priority="13676" operator="greaterThan">
      <formula>0.505</formula>
    </cfRule>
    <cfRule type="cellIs" dxfId="10287" priority="13677" operator="between">
      <formula>0.48</formula>
      <formula>0.5</formula>
    </cfRule>
    <cfRule type="cellIs" dxfId="10286" priority="13678" stopIfTrue="1" operator="between">
      <formula>0</formula>
      <formula>0.255</formula>
    </cfRule>
  </conditionalFormatting>
  <conditionalFormatting sqref="AG175">
    <cfRule type="cellIs" dxfId="10285" priority="13669" operator="between">
      <formula>0.76</formula>
      <formula>0.95</formula>
    </cfRule>
    <cfRule type="cellIs" dxfId="10284" priority="13670" operator="between">
      <formula>0.51</formula>
      <formula>0.75</formula>
    </cfRule>
    <cfRule type="cellIs" dxfId="10283" priority="13671" operator="greaterThan">
      <formula>1</formula>
    </cfRule>
    <cfRule type="cellIs" dxfId="10282" priority="13672" operator="between">
      <formula>0.95</formula>
      <formula>1</formula>
    </cfRule>
    <cfRule type="cellIs" dxfId="10281" priority="13673" stopIfTrue="1" operator="between">
      <formula>0</formula>
      <formula>0.5</formula>
    </cfRule>
  </conditionalFormatting>
  <conditionalFormatting sqref="AG159">
    <cfRule type="cellIs" dxfId="10280" priority="13664" operator="between">
      <formula>0.76</formula>
      <formula>0.95</formula>
    </cfRule>
    <cfRule type="cellIs" dxfId="10279" priority="13665" operator="between">
      <formula>0.51</formula>
      <formula>0.75</formula>
    </cfRule>
    <cfRule type="cellIs" dxfId="10278" priority="13666" operator="greaterThan">
      <formula>1</formula>
    </cfRule>
    <cfRule type="cellIs" dxfId="10277" priority="13667" operator="between">
      <formula>0.95</formula>
      <formula>1</formula>
    </cfRule>
    <cfRule type="cellIs" dxfId="10276" priority="13668" stopIfTrue="1" operator="between">
      <formula>0</formula>
      <formula>0.5</formula>
    </cfRule>
  </conditionalFormatting>
  <conditionalFormatting sqref="AG160">
    <cfRule type="cellIs" dxfId="10275" priority="13659" operator="between">
      <formula>0.76</formula>
      <formula>0.95</formula>
    </cfRule>
    <cfRule type="cellIs" dxfId="10274" priority="13660" operator="between">
      <formula>0.51</formula>
      <formula>0.75</formula>
    </cfRule>
    <cfRule type="cellIs" dxfId="10273" priority="13661" operator="greaterThan">
      <formula>1</formula>
    </cfRule>
    <cfRule type="cellIs" dxfId="10272" priority="13662" operator="between">
      <formula>0.95</formula>
      <formula>1</formula>
    </cfRule>
    <cfRule type="cellIs" dxfId="10271" priority="13663" stopIfTrue="1" operator="between">
      <formula>0</formula>
      <formula>0.5</formula>
    </cfRule>
  </conditionalFormatting>
  <conditionalFormatting sqref="AG161:AG162 AG164">
    <cfRule type="cellIs" dxfId="10270" priority="13639" operator="between">
      <formula>0.76</formula>
      <formula>0.95</formula>
    </cfRule>
    <cfRule type="cellIs" dxfId="10269" priority="13640" operator="between">
      <formula>0.51</formula>
      <formula>0.75</formula>
    </cfRule>
    <cfRule type="cellIs" dxfId="10268" priority="13641" operator="greaterThan">
      <formula>1</formula>
    </cfRule>
    <cfRule type="cellIs" dxfId="10267" priority="13642" operator="between">
      <formula>0.95</formula>
      <formula>1</formula>
    </cfRule>
    <cfRule type="cellIs" dxfId="10266" priority="13643" stopIfTrue="1" operator="between">
      <formula>0</formula>
      <formula>0.5</formula>
    </cfRule>
  </conditionalFormatting>
  <conditionalFormatting sqref="R251:S255 Y251:Z255 AF251:AI255">
    <cfRule type="cellIs" dxfId="10265" priority="13581" operator="between">
      <formula>0.76</formula>
      <formula>0.95</formula>
    </cfRule>
    <cfRule type="cellIs" dxfId="10264" priority="13582" operator="between">
      <formula>0.51</formula>
      <formula>0.75</formula>
    </cfRule>
    <cfRule type="cellIs" dxfId="10263" priority="13583" operator="greaterThan">
      <formula>1</formula>
    </cfRule>
    <cfRule type="cellIs" dxfId="10262" priority="13584" operator="between">
      <formula>0.95</formula>
      <formula>1</formula>
    </cfRule>
    <cfRule type="cellIs" dxfId="10261" priority="13585" stopIfTrue="1" operator="between">
      <formula>0</formula>
      <formula>0.5</formula>
    </cfRule>
  </conditionalFormatting>
  <conditionalFormatting sqref="T251:T255">
    <cfRule type="cellIs" dxfId="10260" priority="13576" operator="between">
      <formula>0.3751</formula>
      <formula>0.475</formula>
    </cfRule>
    <cfRule type="cellIs" dxfId="10259" priority="13577" operator="between">
      <formula>0.2551</formula>
      <formula>0.375</formula>
    </cfRule>
    <cfRule type="cellIs" dxfId="10258" priority="13578" operator="greaterThan">
      <formula>0.505</formula>
    </cfRule>
    <cfRule type="cellIs" dxfId="10257" priority="13579" operator="between">
      <formula>0.48</formula>
      <formula>0.5</formula>
    </cfRule>
    <cfRule type="cellIs" dxfId="10256" priority="13580" stopIfTrue="1" operator="between">
      <formula>0</formula>
      <formula>0.255</formula>
    </cfRule>
  </conditionalFormatting>
  <conditionalFormatting sqref="AA251:AC255">
    <cfRule type="cellIs" dxfId="10255" priority="13571" operator="between">
      <formula>0.56251</formula>
      <formula>0.7125</formula>
    </cfRule>
    <cfRule type="cellIs" dxfId="10254" priority="13572" operator="between">
      <formula>0.3751</formula>
      <formula>0.5625</formula>
    </cfRule>
    <cfRule type="cellIs" dxfId="10253" priority="13573" operator="greaterThan">
      <formula>0.751</formula>
    </cfRule>
    <cfRule type="cellIs" dxfId="10252" priority="13574" operator="between">
      <formula>0.71251</formula>
      <formula>0.75</formula>
    </cfRule>
    <cfRule type="cellIs" dxfId="10251" priority="13575" stopIfTrue="1" operator="between">
      <formula>0</formula>
      <formula>0.375</formula>
    </cfRule>
  </conditionalFormatting>
  <conditionalFormatting sqref="U251:V255">
    <cfRule type="cellIs" dxfId="10250" priority="13561" operator="between">
      <formula>0.376</formula>
      <formula>0.475</formula>
    </cfRule>
    <cfRule type="cellIs" dxfId="10249" priority="13562" operator="between">
      <formula>0.2551</formula>
      <formula>0.3751</formula>
    </cfRule>
    <cfRule type="cellIs" dxfId="10248" priority="13563" operator="greaterThan">
      <formula>0.505</formula>
    </cfRule>
    <cfRule type="cellIs" dxfId="10247" priority="13564" operator="between">
      <formula>0.48</formula>
      <formula>0.5</formula>
    </cfRule>
    <cfRule type="cellIs" dxfId="10246" priority="13565" stopIfTrue="1" operator="between">
      <formula>0</formula>
      <formula>0.255</formula>
    </cfRule>
  </conditionalFormatting>
  <conditionalFormatting sqref="AF66 R66 Y66 AH66:AI66">
    <cfRule type="cellIs" dxfId="10245" priority="13543" operator="between">
      <formula>0.76</formula>
      <formula>0.95</formula>
    </cfRule>
    <cfRule type="cellIs" dxfId="10244" priority="13544" operator="between">
      <formula>0.51</formula>
      <formula>0.75</formula>
    </cfRule>
    <cfRule type="cellIs" dxfId="10243" priority="13545" operator="greaterThan">
      <formula>1</formula>
    </cfRule>
    <cfRule type="cellIs" dxfId="10242" priority="13546" operator="between">
      <formula>0.95</formula>
      <formula>1</formula>
    </cfRule>
    <cfRule type="cellIs" dxfId="10241" priority="13547" stopIfTrue="1" operator="between">
      <formula>0</formula>
      <formula>0.5</formula>
    </cfRule>
  </conditionalFormatting>
  <conditionalFormatting sqref="T66">
    <cfRule type="cellIs" dxfId="10240" priority="13538" operator="between">
      <formula>0.3751</formula>
      <formula>0.475</formula>
    </cfRule>
    <cfRule type="cellIs" dxfId="10239" priority="13539" operator="between">
      <formula>0.2551</formula>
      <formula>0.375</formula>
    </cfRule>
    <cfRule type="cellIs" dxfId="10238" priority="13540" operator="greaterThan">
      <formula>0.505</formula>
    </cfRule>
    <cfRule type="cellIs" dxfId="10237" priority="13541" operator="between">
      <formula>0.48</formula>
      <formula>0.5</formula>
    </cfRule>
    <cfRule type="cellIs" dxfId="10236" priority="13542" stopIfTrue="1" operator="between">
      <formula>0</formula>
      <formula>0.255</formula>
    </cfRule>
  </conditionalFormatting>
  <conditionalFormatting sqref="AA66:AB66">
    <cfRule type="cellIs" dxfId="10235" priority="13533" operator="between">
      <formula>0.56251</formula>
      <formula>0.7125</formula>
    </cfRule>
    <cfRule type="cellIs" dxfId="10234" priority="13534" operator="between">
      <formula>0.3751</formula>
      <formula>0.5625</formula>
    </cfRule>
    <cfRule type="cellIs" dxfId="10233" priority="13535" operator="greaterThan">
      <formula>0.751</formula>
    </cfRule>
    <cfRule type="cellIs" dxfId="10232" priority="13536" operator="between">
      <formula>0.71251</formula>
      <formula>0.75</formula>
    </cfRule>
    <cfRule type="cellIs" dxfId="10231" priority="13537" stopIfTrue="1" operator="between">
      <formula>0</formula>
      <formula>0.375</formula>
    </cfRule>
  </conditionalFormatting>
  <conditionalFormatting sqref="U66">
    <cfRule type="cellIs" dxfId="10230" priority="13523" operator="between">
      <formula>0.376</formula>
      <formula>0.475</formula>
    </cfRule>
    <cfRule type="cellIs" dxfId="10229" priority="13524" operator="between">
      <formula>0.2551</formula>
      <formula>0.3751</formula>
    </cfRule>
    <cfRule type="cellIs" dxfId="10228" priority="13525" operator="greaterThan">
      <formula>0.505</formula>
    </cfRule>
    <cfRule type="cellIs" dxfId="10227" priority="13526" operator="between">
      <formula>0.48</formula>
      <formula>0.5</formula>
    </cfRule>
    <cfRule type="cellIs" dxfId="10226" priority="13527" stopIfTrue="1" operator="between">
      <formula>0</formula>
      <formula>0.255</formula>
    </cfRule>
  </conditionalFormatting>
  <conditionalFormatting sqref="Z66">
    <cfRule type="cellIs" dxfId="10225" priority="13503" operator="between">
      <formula>0.76</formula>
      <formula>0.95</formula>
    </cfRule>
    <cfRule type="cellIs" dxfId="10224" priority="13504" operator="between">
      <formula>0.51</formula>
      <formula>0.75</formula>
    </cfRule>
    <cfRule type="cellIs" dxfId="10223" priority="13505" operator="greaterThan">
      <formula>1</formula>
    </cfRule>
    <cfRule type="cellIs" dxfId="10222" priority="13506" operator="between">
      <formula>0.95</formula>
      <formula>1</formula>
    </cfRule>
    <cfRule type="cellIs" dxfId="10221" priority="13507" stopIfTrue="1" operator="between">
      <formula>0</formula>
      <formula>0.5</formula>
    </cfRule>
  </conditionalFormatting>
  <conditionalFormatting sqref="AC66">
    <cfRule type="cellIs" dxfId="10220" priority="13498" operator="between">
      <formula>0.56251</formula>
      <formula>0.7125</formula>
    </cfRule>
    <cfRule type="cellIs" dxfId="10219" priority="13499" operator="between">
      <formula>0.3751</formula>
      <formula>0.5625</formula>
    </cfRule>
    <cfRule type="cellIs" dxfId="10218" priority="13500" operator="greaterThan">
      <formula>0.751</formula>
    </cfRule>
    <cfRule type="cellIs" dxfId="10217" priority="13501" operator="between">
      <formula>0.71251</formula>
      <formula>0.75</formula>
    </cfRule>
    <cfRule type="cellIs" dxfId="10216" priority="13502" stopIfTrue="1" operator="between">
      <formula>0</formula>
      <formula>0.375</formula>
    </cfRule>
  </conditionalFormatting>
  <conditionalFormatting sqref="S66">
    <cfRule type="cellIs" dxfId="10215" priority="13473" operator="between">
      <formula>0.76</formula>
      <formula>0.95</formula>
    </cfRule>
    <cfRule type="cellIs" dxfId="10214" priority="13474" operator="between">
      <formula>0.51</formula>
      <formula>0.75</formula>
    </cfRule>
    <cfRule type="cellIs" dxfId="10213" priority="13475" operator="greaterThan">
      <formula>1</formula>
    </cfRule>
    <cfRule type="cellIs" dxfId="10212" priority="13476" operator="between">
      <formula>0.95</formula>
      <formula>1</formula>
    </cfRule>
    <cfRule type="cellIs" dxfId="10211" priority="13477" stopIfTrue="1" operator="between">
      <formula>0</formula>
      <formula>0.5</formula>
    </cfRule>
  </conditionalFormatting>
  <conditionalFormatting sqref="V66">
    <cfRule type="cellIs" dxfId="10210" priority="13468" operator="between">
      <formula>0.376</formula>
      <formula>0.475</formula>
    </cfRule>
    <cfRule type="cellIs" dxfId="10209" priority="13469" operator="between">
      <formula>0.2551</formula>
      <formula>0.3751</formula>
    </cfRule>
    <cfRule type="cellIs" dxfId="10208" priority="13470" operator="greaterThan">
      <formula>0.505</formula>
    </cfRule>
    <cfRule type="cellIs" dxfId="10207" priority="13471" operator="between">
      <formula>0.48</formula>
      <formula>0.5</formula>
    </cfRule>
    <cfRule type="cellIs" dxfId="10206" priority="13472" stopIfTrue="1" operator="between">
      <formula>0</formula>
      <formula>0.255</formula>
    </cfRule>
  </conditionalFormatting>
  <conditionalFormatting sqref="AG66">
    <cfRule type="cellIs" dxfId="10205" priority="13463" operator="between">
      <formula>0.76</formula>
      <formula>0.95</formula>
    </cfRule>
    <cfRule type="cellIs" dxfId="10204" priority="13464" operator="between">
      <formula>0.51</formula>
      <formula>0.75</formula>
    </cfRule>
    <cfRule type="cellIs" dxfId="10203" priority="13465" operator="greaterThan">
      <formula>1</formula>
    </cfRule>
    <cfRule type="cellIs" dxfId="10202" priority="13466" operator="between">
      <formula>0.95</formula>
      <formula>1</formula>
    </cfRule>
    <cfRule type="cellIs" dxfId="10201" priority="13467" stopIfTrue="1" operator="between">
      <formula>0</formula>
      <formula>0.5</formula>
    </cfRule>
  </conditionalFormatting>
  <conditionalFormatting sqref="R256:S256 Y256:Z256 AF256:AI256">
    <cfRule type="cellIs" dxfId="10200" priority="13458" operator="between">
      <formula>0.76</formula>
      <formula>0.95</formula>
    </cfRule>
    <cfRule type="cellIs" dxfId="10199" priority="13459" operator="between">
      <formula>0.51</formula>
      <formula>0.75</formula>
    </cfRule>
    <cfRule type="cellIs" dxfId="10198" priority="13460" operator="greaterThan">
      <formula>1</formula>
    </cfRule>
    <cfRule type="cellIs" dxfId="10197" priority="13461" operator="between">
      <formula>0.95</formula>
      <formula>1</formula>
    </cfRule>
    <cfRule type="cellIs" dxfId="10196" priority="13462" stopIfTrue="1" operator="between">
      <formula>0</formula>
      <formula>0.5</formula>
    </cfRule>
  </conditionalFormatting>
  <conditionalFormatting sqref="T256">
    <cfRule type="cellIs" dxfId="10195" priority="13453" operator="between">
      <formula>0.3751</formula>
      <formula>0.475</formula>
    </cfRule>
    <cfRule type="cellIs" dxfId="10194" priority="13454" operator="between">
      <formula>0.2551</formula>
      <formula>0.375</formula>
    </cfRule>
    <cfRule type="cellIs" dxfId="10193" priority="13455" operator="greaterThan">
      <formula>0.505</formula>
    </cfRule>
    <cfRule type="cellIs" dxfId="10192" priority="13456" operator="between">
      <formula>0.48</formula>
      <formula>0.5</formula>
    </cfRule>
    <cfRule type="cellIs" dxfId="10191" priority="13457" stopIfTrue="1" operator="between">
      <formula>0</formula>
      <formula>0.255</formula>
    </cfRule>
  </conditionalFormatting>
  <conditionalFormatting sqref="AA256:AB256">
    <cfRule type="cellIs" dxfId="10190" priority="13448" operator="between">
      <formula>0.56251</formula>
      <formula>0.7125</formula>
    </cfRule>
    <cfRule type="cellIs" dxfId="10189" priority="13449" operator="between">
      <formula>0.3751</formula>
      <formula>0.5625</formula>
    </cfRule>
    <cfRule type="cellIs" dxfId="10188" priority="13450" operator="greaterThan">
      <formula>0.751</formula>
    </cfRule>
    <cfRule type="cellIs" dxfId="10187" priority="13451" operator="between">
      <formula>0.71251</formula>
      <formula>0.75</formula>
    </cfRule>
    <cfRule type="cellIs" dxfId="10186" priority="13452" stopIfTrue="1" operator="between">
      <formula>0</formula>
      <formula>0.375</formula>
    </cfRule>
  </conditionalFormatting>
  <conditionalFormatting sqref="U256">
    <cfRule type="cellIs" dxfId="10185" priority="13438" operator="between">
      <formula>0.376</formula>
      <formula>0.475</formula>
    </cfRule>
    <cfRule type="cellIs" dxfId="10184" priority="13439" operator="between">
      <formula>0.2551</formula>
      <formula>0.3751</formula>
    </cfRule>
    <cfRule type="cellIs" dxfId="10183" priority="13440" operator="greaterThan">
      <formula>0.505</formula>
    </cfRule>
    <cfRule type="cellIs" dxfId="10182" priority="13441" operator="between">
      <formula>0.48</formula>
      <formula>0.5</formula>
    </cfRule>
    <cfRule type="cellIs" dxfId="10181" priority="13442" stopIfTrue="1" operator="between">
      <formula>0</formula>
      <formula>0.255</formula>
    </cfRule>
  </conditionalFormatting>
  <conditionalFormatting sqref="AF67 R67 Y67 AH67:AI67">
    <cfRule type="cellIs" dxfId="10180" priority="13430" operator="between">
      <formula>0.76</formula>
      <formula>0.95</formula>
    </cfRule>
    <cfRule type="cellIs" dxfId="10179" priority="13431" operator="between">
      <formula>0.51</formula>
      <formula>0.75</formula>
    </cfRule>
    <cfRule type="cellIs" dxfId="10178" priority="13432" operator="greaterThan">
      <formula>1</formula>
    </cfRule>
    <cfRule type="cellIs" dxfId="10177" priority="13433" operator="between">
      <formula>0.95</formula>
      <formula>1</formula>
    </cfRule>
    <cfRule type="cellIs" dxfId="10176" priority="13434" stopIfTrue="1" operator="between">
      <formula>0</formula>
      <formula>0.5</formula>
    </cfRule>
  </conditionalFormatting>
  <conditionalFormatting sqref="T67">
    <cfRule type="cellIs" dxfId="10175" priority="13425" operator="between">
      <formula>0.3751</formula>
      <formula>0.475</formula>
    </cfRule>
    <cfRule type="cellIs" dxfId="10174" priority="13426" operator="between">
      <formula>0.2551</formula>
      <formula>0.375</formula>
    </cfRule>
    <cfRule type="cellIs" dxfId="10173" priority="13427" operator="greaterThan">
      <formula>0.505</formula>
    </cfRule>
    <cfRule type="cellIs" dxfId="10172" priority="13428" operator="between">
      <formula>0.48</formula>
      <formula>0.5</formula>
    </cfRule>
    <cfRule type="cellIs" dxfId="10171" priority="13429" stopIfTrue="1" operator="between">
      <formula>0</formula>
      <formula>0.255</formula>
    </cfRule>
  </conditionalFormatting>
  <conditionalFormatting sqref="AA67:AB67">
    <cfRule type="cellIs" dxfId="10170" priority="13420" operator="between">
      <formula>0.56251</formula>
      <formula>0.7125</formula>
    </cfRule>
    <cfRule type="cellIs" dxfId="10169" priority="13421" operator="between">
      <formula>0.3751</formula>
      <formula>0.5625</formula>
    </cfRule>
    <cfRule type="cellIs" dxfId="10168" priority="13422" operator="greaterThan">
      <formula>0.751</formula>
    </cfRule>
    <cfRule type="cellIs" dxfId="10167" priority="13423" operator="between">
      <formula>0.71251</formula>
      <formula>0.75</formula>
    </cfRule>
    <cfRule type="cellIs" dxfId="10166" priority="13424" stopIfTrue="1" operator="between">
      <formula>0</formula>
      <formula>0.375</formula>
    </cfRule>
  </conditionalFormatting>
  <conditionalFormatting sqref="U67">
    <cfRule type="cellIs" dxfId="10165" priority="13410" operator="between">
      <formula>0.376</formula>
      <formula>0.475</formula>
    </cfRule>
    <cfRule type="cellIs" dxfId="10164" priority="13411" operator="between">
      <formula>0.2551</formula>
      <formula>0.3751</formula>
    </cfRule>
    <cfRule type="cellIs" dxfId="10163" priority="13412" operator="greaterThan">
      <formula>0.505</formula>
    </cfRule>
    <cfRule type="cellIs" dxfId="10162" priority="13413" operator="between">
      <formula>0.48</formula>
      <formula>0.5</formula>
    </cfRule>
    <cfRule type="cellIs" dxfId="10161" priority="13414" stopIfTrue="1" operator="between">
      <formula>0</formula>
      <formula>0.255</formula>
    </cfRule>
  </conditionalFormatting>
  <conditionalFormatting sqref="Z67">
    <cfRule type="cellIs" dxfId="10160" priority="13390" operator="between">
      <formula>0.76</formula>
      <formula>0.95</formula>
    </cfRule>
    <cfRule type="cellIs" dxfId="10159" priority="13391" operator="between">
      <formula>0.51</formula>
      <formula>0.75</formula>
    </cfRule>
    <cfRule type="cellIs" dxfId="10158" priority="13392" operator="greaterThan">
      <formula>1</formula>
    </cfRule>
    <cfRule type="cellIs" dxfId="10157" priority="13393" operator="between">
      <formula>0.95</formula>
      <formula>1</formula>
    </cfRule>
    <cfRule type="cellIs" dxfId="10156" priority="13394" stopIfTrue="1" operator="between">
      <formula>0</formula>
      <formula>0.5</formula>
    </cfRule>
  </conditionalFormatting>
  <conditionalFormatting sqref="AC67">
    <cfRule type="cellIs" dxfId="10155" priority="13385" operator="between">
      <formula>0.56251</formula>
      <formula>0.7125</formula>
    </cfRule>
    <cfRule type="cellIs" dxfId="10154" priority="13386" operator="between">
      <formula>0.3751</formula>
      <formula>0.5625</formula>
    </cfRule>
    <cfRule type="cellIs" dxfId="10153" priority="13387" operator="greaterThan">
      <formula>0.751</formula>
    </cfRule>
    <cfRule type="cellIs" dxfId="10152" priority="13388" operator="between">
      <formula>0.71251</formula>
      <formula>0.75</formula>
    </cfRule>
    <cfRule type="cellIs" dxfId="10151" priority="13389" stopIfTrue="1" operator="between">
      <formula>0</formula>
      <formula>0.375</formula>
    </cfRule>
  </conditionalFormatting>
  <conditionalFormatting sqref="S67">
    <cfRule type="cellIs" dxfId="10150" priority="13370" operator="between">
      <formula>0.76</formula>
      <formula>0.95</formula>
    </cfRule>
    <cfRule type="cellIs" dxfId="10149" priority="13371" operator="between">
      <formula>0.51</formula>
      <formula>0.75</formula>
    </cfRule>
    <cfRule type="cellIs" dxfId="10148" priority="13372" operator="greaterThan">
      <formula>1</formula>
    </cfRule>
    <cfRule type="cellIs" dxfId="10147" priority="13373" operator="between">
      <formula>0.95</formula>
      <formula>1</formula>
    </cfRule>
    <cfRule type="cellIs" dxfId="10146" priority="13374" stopIfTrue="1" operator="between">
      <formula>0</formula>
      <formula>0.5</formula>
    </cfRule>
  </conditionalFormatting>
  <conditionalFormatting sqref="V67">
    <cfRule type="cellIs" dxfId="10145" priority="13365" operator="between">
      <formula>0.376</formula>
      <formula>0.475</formula>
    </cfRule>
    <cfRule type="cellIs" dxfId="10144" priority="13366" operator="between">
      <formula>0.2551</formula>
      <formula>0.3751</formula>
    </cfRule>
    <cfRule type="cellIs" dxfId="10143" priority="13367" operator="greaterThan">
      <formula>0.505</formula>
    </cfRule>
    <cfRule type="cellIs" dxfId="10142" priority="13368" operator="between">
      <formula>0.48</formula>
      <formula>0.5</formula>
    </cfRule>
    <cfRule type="cellIs" dxfId="10141" priority="13369" stopIfTrue="1" operator="between">
      <formula>0</formula>
      <formula>0.255</formula>
    </cfRule>
  </conditionalFormatting>
  <conditionalFormatting sqref="AG67">
    <cfRule type="cellIs" dxfId="10140" priority="13360" operator="between">
      <formula>0.76</formula>
      <formula>0.95</formula>
    </cfRule>
    <cfRule type="cellIs" dxfId="10139" priority="13361" operator="between">
      <formula>0.51</formula>
      <formula>0.75</formula>
    </cfRule>
    <cfRule type="cellIs" dxfId="10138" priority="13362" operator="greaterThan">
      <formula>1</formula>
    </cfRule>
    <cfRule type="cellIs" dxfId="10137" priority="13363" operator="between">
      <formula>0.95</formula>
      <formula>1</formula>
    </cfRule>
    <cfRule type="cellIs" dxfId="10136" priority="13364" stopIfTrue="1" operator="between">
      <formula>0</formula>
      <formula>0.5</formula>
    </cfRule>
  </conditionalFormatting>
  <conditionalFormatting sqref="S94:S96">
    <cfRule type="cellIs" dxfId="10135" priority="13125" operator="between">
      <formula>0.76</formula>
      <formula>0.95</formula>
    </cfRule>
    <cfRule type="cellIs" dxfId="10134" priority="13126" operator="between">
      <formula>0.51</formula>
      <formula>0.75</formula>
    </cfRule>
    <cfRule type="cellIs" dxfId="10133" priority="13127" operator="greaterThan">
      <formula>1</formula>
    </cfRule>
    <cfRule type="cellIs" dxfId="10132" priority="13128" operator="between">
      <formula>0.95</formula>
      <formula>1</formula>
    </cfRule>
    <cfRule type="cellIs" dxfId="10131" priority="13129" stopIfTrue="1" operator="between">
      <formula>0</formula>
      <formula>0.5</formula>
    </cfRule>
  </conditionalFormatting>
  <conditionalFormatting sqref="V94:V96">
    <cfRule type="cellIs" dxfId="10130" priority="13120" operator="between">
      <formula>0.376</formula>
      <formula>0.475</formula>
    </cfRule>
    <cfRule type="cellIs" dxfId="10129" priority="13121" operator="between">
      <formula>0.2551</formula>
      <formula>0.3751</formula>
    </cfRule>
    <cfRule type="cellIs" dxfId="10128" priority="13122" operator="greaterThan">
      <formula>0.505</formula>
    </cfRule>
    <cfRule type="cellIs" dxfId="10127" priority="13123" operator="between">
      <formula>0.48</formula>
      <formula>0.5</formula>
    </cfRule>
    <cfRule type="cellIs" dxfId="10126" priority="13124" stopIfTrue="1" operator="between">
      <formula>0</formula>
      <formula>0.255</formula>
    </cfRule>
  </conditionalFormatting>
  <conditionalFormatting sqref="AG93">
    <cfRule type="cellIs" dxfId="10125" priority="13105" operator="between">
      <formula>0.76</formula>
      <formula>0.95</formula>
    </cfRule>
    <cfRule type="cellIs" dxfId="10124" priority="13106" operator="between">
      <formula>0.51</formula>
      <formula>0.75</formula>
    </cfRule>
    <cfRule type="cellIs" dxfId="10123" priority="13107" operator="greaterThan">
      <formula>1</formula>
    </cfRule>
    <cfRule type="cellIs" dxfId="10122" priority="13108" operator="between">
      <formula>0.95</formula>
      <formula>1</formula>
    </cfRule>
    <cfRule type="cellIs" dxfId="10121" priority="13109" stopIfTrue="1" operator="between">
      <formula>0</formula>
      <formula>0.5</formula>
    </cfRule>
  </conditionalFormatting>
  <conditionalFormatting sqref="AF84:AF87 R84:R87 Y84:Y87 AH84:AI87">
    <cfRule type="cellIs" dxfId="10120" priority="13280" operator="between">
      <formula>0.76</formula>
      <formula>0.95</formula>
    </cfRule>
    <cfRule type="cellIs" dxfId="10119" priority="13281" operator="between">
      <formula>0.51</formula>
      <formula>0.75</formula>
    </cfRule>
    <cfRule type="cellIs" dxfId="10118" priority="13282" operator="greaterThan">
      <formula>1</formula>
    </cfRule>
    <cfRule type="cellIs" dxfId="10117" priority="13283" operator="between">
      <formula>0.95</formula>
      <formula>1</formula>
    </cfRule>
    <cfRule type="cellIs" dxfId="10116" priority="13284" stopIfTrue="1" operator="between">
      <formula>0</formula>
      <formula>0.5</formula>
    </cfRule>
  </conditionalFormatting>
  <conditionalFormatting sqref="T84:T87">
    <cfRule type="cellIs" dxfId="10115" priority="13275" operator="between">
      <formula>0.3751</formula>
      <formula>0.475</formula>
    </cfRule>
    <cfRule type="cellIs" dxfId="10114" priority="13276" operator="between">
      <formula>0.2551</formula>
      <formula>0.375</formula>
    </cfRule>
    <cfRule type="cellIs" dxfId="10113" priority="13277" operator="greaterThan">
      <formula>0.505</formula>
    </cfRule>
    <cfRule type="cellIs" dxfId="10112" priority="13278" operator="between">
      <formula>0.48</formula>
      <formula>0.5</formula>
    </cfRule>
    <cfRule type="cellIs" dxfId="10111" priority="13279" stopIfTrue="1" operator="between">
      <formula>0</formula>
      <formula>0.255</formula>
    </cfRule>
  </conditionalFormatting>
  <conditionalFormatting sqref="AA84:AB87">
    <cfRule type="cellIs" dxfId="10110" priority="13270" operator="between">
      <formula>0.56251</formula>
      <formula>0.7125</formula>
    </cfRule>
    <cfRule type="cellIs" dxfId="10109" priority="13271" operator="between">
      <formula>0.3751</formula>
      <formula>0.5625</formula>
    </cfRule>
    <cfRule type="cellIs" dxfId="10108" priority="13272" operator="greaterThan">
      <formula>0.751</formula>
    </cfRule>
    <cfRule type="cellIs" dxfId="10107" priority="13273" operator="between">
      <formula>0.71251</formula>
      <formula>0.75</formula>
    </cfRule>
    <cfRule type="cellIs" dxfId="10106" priority="13274" stopIfTrue="1" operator="between">
      <formula>0</formula>
      <formula>0.375</formula>
    </cfRule>
  </conditionalFormatting>
  <conditionalFormatting sqref="U84:U87">
    <cfRule type="cellIs" dxfId="10105" priority="13260" operator="between">
      <formula>0.376</formula>
      <formula>0.475</formula>
    </cfRule>
    <cfRule type="cellIs" dxfId="10104" priority="13261" operator="between">
      <formula>0.2551</formula>
      <formula>0.3751</formula>
    </cfRule>
    <cfRule type="cellIs" dxfId="10103" priority="13262" operator="greaterThan">
      <formula>0.505</formula>
    </cfRule>
    <cfRule type="cellIs" dxfId="10102" priority="13263" operator="between">
      <formula>0.48</formula>
      <formula>0.5</formula>
    </cfRule>
    <cfRule type="cellIs" dxfId="10101" priority="13264" stopIfTrue="1" operator="between">
      <formula>0</formula>
      <formula>0.255</formula>
    </cfRule>
  </conditionalFormatting>
  <conditionalFormatting sqref="Z84:Z87">
    <cfRule type="cellIs" dxfId="10100" priority="13240" operator="between">
      <formula>0.76</formula>
      <formula>0.95</formula>
    </cfRule>
    <cfRule type="cellIs" dxfId="10099" priority="13241" operator="between">
      <formula>0.51</formula>
      <formula>0.75</formula>
    </cfRule>
    <cfRule type="cellIs" dxfId="10098" priority="13242" operator="greaterThan">
      <formula>1</formula>
    </cfRule>
    <cfRule type="cellIs" dxfId="10097" priority="13243" operator="between">
      <formula>0.95</formula>
      <formula>1</formula>
    </cfRule>
    <cfRule type="cellIs" dxfId="10096" priority="13244" stopIfTrue="1" operator="between">
      <formula>0</formula>
      <formula>0.5</formula>
    </cfRule>
  </conditionalFormatting>
  <conditionalFormatting sqref="AC84:AC87">
    <cfRule type="cellIs" dxfId="10095" priority="13235" operator="between">
      <formula>0.56251</formula>
      <formula>0.7125</formula>
    </cfRule>
    <cfRule type="cellIs" dxfId="10094" priority="13236" operator="between">
      <formula>0.3751</formula>
      <formula>0.5625</formula>
    </cfRule>
    <cfRule type="cellIs" dxfId="10093" priority="13237" operator="greaterThan">
      <formula>0.751</formula>
    </cfRule>
    <cfRule type="cellIs" dxfId="10092" priority="13238" operator="between">
      <formula>0.71251</formula>
      <formula>0.75</formula>
    </cfRule>
    <cfRule type="cellIs" dxfId="10091" priority="13239" stopIfTrue="1" operator="between">
      <formula>0</formula>
      <formula>0.375</formula>
    </cfRule>
  </conditionalFormatting>
  <conditionalFormatting sqref="S84:S87">
    <cfRule type="cellIs" dxfId="10090" priority="13220" operator="between">
      <formula>0.76</formula>
      <formula>0.95</formula>
    </cfRule>
    <cfRule type="cellIs" dxfId="10089" priority="13221" operator="between">
      <formula>0.51</formula>
      <formula>0.75</formula>
    </cfRule>
    <cfRule type="cellIs" dxfId="10088" priority="13222" operator="greaterThan">
      <formula>1</formula>
    </cfRule>
    <cfRule type="cellIs" dxfId="10087" priority="13223" operator="between">
      <formula>0.95</formula>
      <formula>1</formula>
    </cfRule>
    <cfRule type="cellIs" dxfId="10086" priority="13224" stopIfTrue="1" operator="between">
      <formula>0</formula>
      <formula>0.5</formula>
    </cfRule>
  </conditionalFormatting>
  <conditionalFormatting sqref="V84:V87">
    <cfRule type="cellIs" dxfId="10085" priority="13215" operator="between">
      <formula>0.376</formula>
      <formula>0.475</formula>
    </cfRule>
    <cfRule type="cellIs" dxfId="10084" priority="13216" operator="between">
      <formula>0.2551</formula>
      <formula>0.3751</formula>
    </cfRule>
    <cfRule type="cellIs" dxfId="10083" priority="13217" operator="greaterThan">
      <formula>0.505</formula>
    </cfRule>
    <cfRule type="cellIs" dxfId="10082" priority="13218" operator="between">
      <formula>0.48</formula>
      <formula>0.5</formula>
    </cfRule>
    <cfRule type="cellIs" dxfId="10081" priority="13219" stopIfTrue="1" operator="between">
      <formula>0</formula>
      <formula>0.255</formula>
    </cfRule>
  </conditionalFormatting>
  <conditionalFormatting sqref="AG84:AG87">
    <cfRule type="cellIs" dxfId="10080" priority="13210" operator="between">
      <formula>0.76</formula>
      <formula>0.95</formula>
    </cfRule>
    <cfRule type="cellIs" dxfId="10079" priority="13211" operator="between">
      <formula>0.51</formula>
      <formula>0.75</formula>
    </cfRule>
    <cfRule type="cellIs" dxfId="10078" priority="13212" operator="greaterThan">
      <formula>1</formula>
    </cfRule>
    <cfRule type="cellIs" dxfId="10077" priority="13213" operator="between">
      <formula>0.95</formula>
      <formula>1</formula>
    </cfRule>
    <cfRule type="cellIs" dxfId="10076" priority="13214" stopIfTrue="1" operator="between">
      <formula>0</formula>
      <formula>0.5</formula>
    </cfRule>
  </conditionalFormatting>
  <conditionalFormatting sqref="AF89:AF91 R89:R91 Y89:Y91 AH89:AI91 AH93:AI96 Y93:Y96 R93:R96 AF93:AF96">
    <cfRule type="cellIs" dxfId="10075" priority="13205" operator="between">
      <formula>0.76</formula>
      <formula>0.95</formula>
    </cfRule>
    <cfRule type="cellIs" dxfId="10074" priority="13206" operator="between">
      <formula>0.51</formula>
      <formula>0.75</formula>
    </cfRule>
    <cfRule type="cellIs" dxfId="10073" priority="13207" operator="greaterThan">
      <formula>1</formula>
    </cfRule>
    <cfRule type="cellIs" dxfId="10072" priority="13208" operator="between">
      <formula>0.95</formula>
      <formula>1</formula>
    </cfRule>
    <cfRule type="cellIs" dxfId="10071" priority="13209" stopIfTrue="1" operator="between">
      <formula>0</formula>
      <formula>0.5</formula>
    </cfRule>
  </conditionalFormatting>
  <conditionalFormatting sqref="T89:T91 T93:T96">
    <cfRule type="cellIs" dxfId="10070" priority="13200" operator="between">
      <formula>0.3751</formula>
      <formula>0.475</formula>
    </cfRule>
    <cfRule type="cellIs" dxfId="10069" priority="13201" operator="between">
      <formula>0.2551</formula>
      <formula>0.375</formula>
    </cfRule>
    <cfRule type="cellIs" dxfId="10068" priority="13202" operator="greaterThan">
      <formula>0.505</formula>
    </cfRule>
    <cfRule type="cellIs" dxfId="10067" priority="13203" operator="between">
      <formula>0.48</formula>
      <formula>0.5</formula>
    </cfRule>
    <cfRule type="cellIs" dxfId="10066" priority="13204" stopIfTrue="1" operator="between">
      <formula>0</formula>
      <formula>0.255</formula>
    </cfRule>
  </conditionalFormatting>
  <conditionalFormatting sqref="AA89:AB91 AA93:AB96">
    <cfRule type="cellIs" dxfId="10065" priority="13195" operator="between">
      <formula>0.56251</formula>
      <formula>0.7125</formula>
    </cfRule>
    <cfRule type="cellIs" dxfId="10064" priority="13196" operator="between">
      <formula>0.3751</formula>
      <formula>0.5625</formula>
    </cfRule>
    <cfRule type="cellIs" dxfId="10063" priority="13197" operator="greaterThan">
      <formula>0.751</formula>
    </cfRule>
    <cfRule type="cellIs" dxfId="10062" priority="13198" operator="between">
      <formula>0.71251</formula>
      <formula>0.75</formula>
    </cfRule>
    <cfRule type="cellIs" dxfId="10061" priority="13199" stopIfTrue="1" operator="between">
      <formula>0</formula>
      <formula>0.375</formula>
    </cfRule>
  </conditionalFormatting>
  <conditionalFormatting sqref="U89:U91 U93:U96">
    <cfRule type="cellIs" dxfId="10060" priority="13185" operator="between">
      <formula>0.376</formula>
      <formula>0.475</formula>
    </cfRule>
    <cfRule type="cellIs" dxfId="10059" priority="13186" operator="between">
      <formula>0.2551</formula>
      <formula>0.3751</formula>
    </cfRule>
    <cfRule type="cellIs" dxfId="10058" priority="13187" operator="greaterThan">
      <formula>0.505</formula>
    </cfRule>
    <cfRule type="cellIs" dxfId="10057" priority="13188" operator="between">
      <formula>0.48</formula>
      <formula>0.5</formula>
    </cfRule>
    <cfRule type="cellIs" dxfId="10056" priority="13189" stopIfTrue="1" operator="between">
      <formula>0</formula>
      <formula>0.255</formula>
    </cfRule>
  </conditionalFormatting>
  <conditionalFormatting sqref="Z89:Z91 Z93:Z96">
    <cfRule type="cellIs" dxfId="10055" priority="13165" operator="between">
      <formula>0.76</formula>
      <formula>0.95</formula>
    </cfRule>
    <cfRule type="cellIs" dxfId="10054" priority="13166" operator="between">
      <formula>0.51</formula>
      <formula>0.75</formula>
    </cfRule>
    <cfRule type="cellIs" dxfId="10053" priority="13167" operator="greaterThan">
      <formula>1</formula>
    </cfRule>
    <cfRule type="cellIs" dxfId="10052" priority="13168" operator="between">
      <formula>0.95</formula>
      <formula>1</formula>
    </cfRule>
    <cfRule type="cellIs" dxfId="10051" priority="13169" stopIfTrue="1" operator="between">
      <formula>0</formula>
      <formula>0.5</formula>
    </cfRule>
  </conditionalFormatting>
  <conditionalFormatting sqref="AC93:AC96 AC89:AC91">
    <cfRule type="cellIs" dxfId="10050" priority="13160" operator="between">
      <formula>0.56251</formula>
      <formula>0.7125</formula>
    </cfRule>
    <cfRule type="cellIs" dxfId="10049" priority="13161" operator="between">
      <formula>0.3751</formula>
      <formula>0.5625</formula>
    </cfRule>
    <cfRule type="cellIs" dxfId="10048" priority="13162" operator="greaterThan">
      <formula>0.751</formula>
    </cfRule>
    <cfRule type="cellIs" dxfId="10047" priority="13163" operator="between">
      <formula>0.71251</formula>
      <formula>0.75</formula>
    </cfRule>
    <cfRule type="cellIs" dxfId="10046" priority="13164" stopIfTrue="1" operator="between">
      <formula>0</formula>
      <formula>0.375</formula>
    </cfRule>
  </conditionalFormatting>
  <conditionalFormatting sqref="S93">
    <cfRule type="cellIs" dxfId="10045" priority="13145" operator="between">
      <formula>0.76</formula>
      <formula>0.95</formula>
    </cfRule>
    <cfRule type="cellIs" dxfId="10044" priority="13146" operator="between">
      <formula>0.51</formula>
      <formula>0.75</formula>
    </cfRule>
    <cfRule type="cellIs" dxfId="10043" priority="13147" operator="greaterThan">
      <formula>1</formula>
    </cfRule>
    <cfRule type="cellIs" dxfId="10042" priority="13148" operator="between">
      <formula>0.95</formula>
      <formula>1</formula>
    </cfRule>
    <cfRule type="cellIs" dxfId="10041" priority="13149" stopIfTrue="1" operator="between">
      <formula>0</formula>
      <formula>0.5</formula>
    </cfRule>
  </conditionalFormatting>
  <conditionalFormatting sqref="V93">
    <cfRule type="cellIs" dxfId="10040" priority="13140" operator="between">
      <formula>0.376</formula>
      <formula>0.475</formula>
    </cfRule>
    <cfRule type="cellIs" dxfId="10039" priority="13141" operator="between">
      <formula>0.2551</formula>
      <formula>0.3751</formula>
    </cfRule>
    <cfRule type="cellIs" dxfId="10038" priority="13142" operator="greaterThan">
      <formula>0.505</formula>
    </cfRule>
    <cfRule type="cellIs" dxfId="10037" priority="13143" operator="between">
      <formula>0.48</formula>
      <formula>0.5</formula>
    </cfRule>
    <cfRule type="cellIs" dxfId="10036" priority="13144" stopIfTrue="1" operator="between">
      <formula>0</formula>
      <formula>0.255</formula>
    </cfRule>
  </conditionalFormatting>
  <conditionalFormatting sqref="S89">
    <cfRule type="cellIs" dxfId="10035" priority="13130" operator="between">
      <formula>0.76</formula>
      <formula>0.95</formula>
    </cfRule>
    <cfRule type="cellIs" dxfId="10034" priority="13131" operator="between">
      <formula>0.51</formula>
      <formula>0.75</formula>
    </cfRule>
    <cfRule type="cellIs" dxfId="10033" priority="13132" operator="greaterThan">
      <formula>1</formula>
    </cfRule>
    <cfRule type="cellIs" dxfId="10032" priority="13133" operator="between">
      <formula>0.95</formula>
      <formula>1</formula>
    </cfRule>
    <cfRule type="cellIs" dxfId="10031" priority="13134" stopIfTrue="1" operator="between">
      <formula>0</formula>
      <formula>0.5</formula>
    </cfRule>
  </conditionalFormatting>
  <conditionalFormatting sqref="V89">
    <cfRule type="cellIs" dxfId="10030" priority="13115" operator="between">
      <formula>0.376</formula>
      <formula>0.475</formula>
    </cfRule>
    <cfRule type="cellIs" dxfId="10029" priority="13116" operator="between">
      <formula>0.2551</formula>
      <formula>0.3751</formula>
    </cfRule>
    <cfRule type="cellIs" dxfId="10028" priority="13117" operator="greaterThan">
      <formula>0.505</formula>
    </cfRule>
    <cfRule type="cellIs" dxfId="10027" priority="13118" operator="between">
      <formula>0.48</formula>
      <formula>0.5</formula>
    </cfRule>
    <cfRule type="cellIs" dxfId="10026" priority="13119" stopIfTrue="1" operator="between">
      <formula>0</formula>
      <formula>0.255</formula>
    </cfRule>
  </conditionalFormatting>
  <conditionalFormatting sqref="AG91">
    <cfRule type="cellIs" dxfId="10025" priority="13110" operator="between">
      <formula>0.76</formula>
      <formula>0.95</formula>
    </cfRule>
    <cfRule type="cellIs" dxfId="10024" priority="13111" operator="between">
      <formula>0.51</formula>
      <formula>0.75</formula>
    </cfRule>
    <cfRule type="cellIs" dxfId="10023" priority="13112" operator="greaterThan">
      <formula>1</formula>
    </cfRule>
    <cfRule type="cellIs" dxfId="10022" priority="13113" operator="between">
      <formula>0.95</formula>
      <formula>1</formula>
    </cfRule>
    <cfRule type="cellIs" dxfId="10021" priority="13114" stopIfTrue="1" operator="between">
      <formula>0</formula>
      <formula>0.5</formula>
    </cfRule>
  </conditionalFormatting>
  <conditionalFormatting sqref="AF97 R97 Y97 AH97:AI97">
    <cfRule type="cellIs" dxfId="10020" priority="13100" operator="between">
      <formula>0.76</formula>
      <formula>0.95</formula>
    </cfRule>
    <cfRule type="cellIs" dxfId="10019" priority="13101" operator="between">
      <formula>0.51</formula>
      <formula>0.75</formula>
    </cfRule>
    <cfRule type="cellIs" dxfId="10018" priority="13102" operator="greaterThan">
      <formula>1</formula>
    </cfRule>
    <cfRule type="cellIs" dxfId="10017" priority="13103" operator="between">
      <formula>0.95</formula>
      <formula>1</formula>
    </cfRule>
    <cfRule type="cellIs" dxfId="10016" priority="13104" stopIfTrue="1" operator="between">
      <formula>0</formula>
      <formula>0.5</formula>
    </cfRule>
  </conditionalFormatting>
  <conditionalFormatting sqref="T97">
    <cfRule type="cellIs" dxfId="10015" priority="13095" operator="between">
      <formula>0.3751</formula>
      <formula>0.475</formula>
    </cfRule>
    <cfRule type="cellIs" dxfId="10014" priority="13096" operator="between">
      <formula>0.2551</formula>
      <formula>0.375</formula>
    </cfRule>
    <cfRule type="cellIs" dxfId="10013" priority="13097" operator="greaterThan">
      <formula>0.505</formula>
    </cfRule>
    <cfRule type="cellIs" dxfId="10012" priority="13098" operator="between">
      <formula>0.48</formula>
      <formula>0.5</formula>
    </cfRule>
    <cfRule type="cellIs" dxfId="10011" priority="13099" stopIfTrue="1" operator="between">
      <formula>0</formula>
      <formula>0.255</formula>
    </cfRule>
  </conditionalFormatting>
  <conditionalFormatting sqref="AA97:AB97">
    <cfRule type="cellIs" dxfId="10010" priority="13090" operator="between">
      <formula>0.56251</formula>
      <formula>0.7125</formula>
    </cfRule>
    <cfRule type="cellIs" dxfId="10009" priority="13091" operator="between">
      <formula>0.3751</formula>
      <formula>0.5625</formula>
    </cfRule>
    <cfRule type="cellIs" dxfId="10008" priority="13092" operator="greaterThan">
      <formula>0.751</formula>
    </cfRule>
    <cfRule type="cellIs" dxfId="10007" priority="13093" operator="between">
      <formula>0.71251</formula>
      <formula>0.75</formula>
    </cfRule>
    <cfRule type="cellIs" dxfId="10006" priority="13094" stopIfTrue="1" operator="between">
      <formula>0</formula>
      <formula>0.375</formula>
    </cfRule>
  </conditionalFormatting>
  <conditionalFormatting sqref="U97">
    <cfRule type="cellIs" dxfId="10005" priority="13080" operator="between">
      <formula>0.376</formula>
      <formula>0.475</formula>
    </cfRule>
    <cfRule type="cellIs" dxfId="10004" priority="13081" operator="between">
      <formula>0.2551</formula>
      <formula>0.3751</formula>
    </cfRule>
    <cfRule type="cellIs" dxfId="10003" priority="13082" operator="greaterThan">
      <formula>0.505</formula>
    </cfRule>
    <cfRule type="cellIs" dxfId="10002" priority="13083" operator="between">
      <formula>0.48</formula>
      <formula>0.5</formula>
    </cfRule>
    <cfRule type="cellIs" dxfId="10001" priority="13084" stopIfTrue="1" operator="between">
      <formula>0</formula>
      <formula>0.255</formula>
    </cfRule>
  </conditionalFormatting>
  <conditionalFormatting sqref="AC97">
    <cfRule type="cellIs" dxfId="10000" priority="13055" operator="between">
      <formula>0.56251</formula>
      <formula>0.7125</formula>
    </cfRule>
    <cfRule type="cellIs" dxfId="9999" priority="13056" operator="between">
      <formula>0.3751</formula>
      <formula>0.5625</formula>
    </cfRule>
    <cfRule type="cellIs" dxfId="9998" priority="13057" operator="greaterThan">
      <formula>0.751</formula>
    </cfRule>
    <cfRule type="cellIs" dxfId="9997" priority="13058" operator="between">
      <formula>0.71251</formula>
      <formula>0.75</formula>
    </cfRule>
    <cfRule type="cellIs" dxfId="9996" priority="13059" stopIfTrue="1" operator="between">
      <formula>0</formula>
      <formula>0.375</formula>
    </cfRule>
  </conditionalFormatting>
  <conditionalFormatting sqref="S97">
    <cfRule type="cellIs" dxfId="9995" priority="13035" operator="between">
      <formula>0.76</formula>
      <formula>0.95</formula>
    </cfRule>
    <cfRule type="cellIs" dxfId="9994" priority="13036" operator="between">
      <formula>0.51</formula>
      <formula>0.75</formula>
    </cfRule>
    <cfRule type="cellIs" dxfId="9993" priority="13037" operator="greaterThan">
      <formula>1</formula>
    </cfRule>
    <cfRule type="cellIs" dxfId="9992" priority="13038" operator="between">
      <formula>0.95</formula>
      <formula>1</formula>
    </cfRule>
    <cfRule type="cellIs" dxfId="9991" priority="13039" stopIfTrue="1" operator="between">
      <formula>0</formula>
      <formula>0.5</formula>
    </cfRule>
  </conditionalFormatting>
  <conditionalFormatting sqref="V97">
    <cfRule type="cellIs" dxfId="9990" priority="13030" operator="between">
      <formula>0.376</formula>
      <formula>0.475</formula>
    </cfRule>
    <cfRule type="cellIs" dxfId="9989" priority="13031" operator="between">
      <formula>0.2551</formula>
      <formula>0.3751</formula>
    </cfRule>
    <cfRule type="cellIs" dxfId="9988" priority="13032" operator="greaterThan">
      <formula>0.505</formula>
    </cfRule>
    <cfRule type="cellIs" dxfId="9987" priority="13033" operator="between">
      <formula>0.48</formula>
      <formula>0.5</formula>
    </cfRule>
    <cfRule type="cellIs" dxfId="9986" priority="13034" stopIfTrue="1" operator="between">
      <formula>0</formula>
      <formula>0.255</formula>
    </cfRule>
  </conditionalFormatting>
  <conditionalFormatting sqref="AH117:AI118 Y117:Y118 R117:R118 AF117:AF118">
    <cfRule type="cellIs" dxfId="9985" priority="13025" operator="between">
      <formula>0.76</formula>
      <formula>0.95</formula>
    </cfRule>
    <cfRule type="cellIs" dxfId="9984" priority="13026" operator="between">
      <formula>0.51</formula>
      <formula>0.75</formula>
    </cfRule>
    <cfRule type="cellIs" dxfId="9983" priority="13027" operator="greaterThan">
      <formula>1</formula>
    </cfRule>
    <cfRule type="cellIs" dxfId="9982" priority="13028" operator="between">
      <formula>0.95</formula>
      <formula>1</formula>
    </cfRule>
    <cfRule type="cellIs" dxfId="9981" priority="13029" stopIfTrue="1" operator="between">
      <formula>0</formula>
      <formula>0.5</formula>
    </cfRule>
  </conditionalFormatting>
  <conditionalFormatting sqref="T117:T118">
    <cfRule type="cellIs" dxfId="9980" priority="13020" operator="between">
      <formula>0.3751</formula>
      <formula>0.475</formula>
    </cfRule>
    <cfRule type="cellIs" dxfId="9979" priority="13021" operator="between">
      <formula>0.2551</formula>
      <formula>0.375</formula>
    </cfRule>
    <cfRule type="cellIs" dxfId="9978" priority="13022" operator="greaterThan">
      <formula>0.505</formula>
    </cfRule>
    <cfRule type="cellIs" dxfId="9977" priority="13023" operator="between">
      <formula>0.48</formula>
      <formula>0.5</formula>
    </cfRule>
    <cfRule type="cellIs" dxfId="9976" priority="13024" stopIfTrue="1" operator="between">
      <formula>0</formula>
      <formula>0.255</formula>
    </cfRule>
  </conditionalFormatting>
  <conditionalFormatting sqref="AA117:AB118">
    <cfRule type="cellIs" dxfId="9975" priority="13015" operator="between">
      <formula>0.56251</formula>
      <formula>0.7125</formula>
    </cfRule>
    <cfRule type="cellIs" dxfId="9974" priority="13016" operator="between">
      <formula>0.3751</formula>
      <formula>0.5625</formula>
    </cfRule>
    <cfRule type="cellIs" dxfId="9973" priority="13017" operator="greaterThan">
      <formula>0.751</formula>
    </cfRule>
    <cfRule type="cellIs" dxfId="9972" priority="13018" operator="between">
      <formula>0.71251</formula>
      <formula>0.75</formula>
    </cfRule>
    <cfRule type="cellIs" dxfId="9971" priority="13019" stopIfTrue="1" operator="between">
      <formula>0</formula>
      <formula>0.375</formula>
    </cfRule>
  </conditionalFormatting>
  <conditionalFormatting sqref="U117:U118">
    <cfRule type="cellIs" dxfId="9970" priority="13005" operator="between">
      <formula>0.376</formula>
      <formula>0.475</formula>
    </cfRule>
    <cfRule type="cellIs" dxfId="9969" priority="13006" operator="between">
      <formula>0.2551</formula>
      <formula>0.3751</formula>
    </cfRule>
    <cfRule type="cellIs" dxfId="9968" priority="13007" operator="greaterThan">
      <formula>0.505</formula>
    </cfRule>
    <cfRule type="cellIs" dxfId="9967" priority="13008" operator="between">
      <formula>0.48</formula>
      <formula>0.5</formula>
    </cfRule>
    <cfRule type="cellIs" dxfId="9966" priority="13009" stopIfTrue="1" operator="between">
      <formula>0</formula>
      <formula>0.255</formula>
    </cfRule>
  </conditionalFormatting>
  <conditionalFormatting sqref="Z118">
    <cfRule type="cellIs" dxfId="9965" priority="12985" operator="between">
      <formula>0.76</formula>
      <formula>0.95</formula>
    </cfRule>
    <cfRule type="cellIs" dxfId="9964" priority="12986" operator="between">
      <formula>0.51</formula>
      <formula>0.75</formula>
    </cfRule>
    <cfRule type="cellIs" dxfId="9963" priority="12987" operator="greaterThan">
      <formula>1</formula>
    </cfRule>
    <cfRule type="cellIs" dxfId="9962" priority="12988" operator="between">
      <formula>0.95</formula>
      <formula>1</formula>
    </cfRule>
    <cfRule type="cellIs" dxfId="9961" priority="12989" stopIfTrue="1" operator="between">
      <formula>0</formula>
      <formula>0.5</formula>
    </cfRule>
  </conditionalFormatting>
  <conditionalFormatting sqref="AC117:AC118">
    <cfRule type="cellIs" dxfId="9960" priority="12980" operator="between">
      <formula>0.56251</formula>
      <formula>0.7125</formula>
    </cfRule>
    <cfRule type="cellIs" dxfId="9959" priority="12981" operator="between">
      <formula>0.3751</formula>
      <formula>0.5625</formula>
    </cfRule>
    <cfRule type="cellIs" dxfId="9958" priority="12982" operator="greaterThan">
      <formula>0.751</formula>
    </cfRule>
    <cfRule type="cellIs" dxfId="9957" priority="12983" operator="between">
      <formula>0.71251</formula>
      <formula>0.75</formula>
    </cfRule>
    <cfRule type="cellIs" dxfId="9956" priority="12984" stopIfTrue="1" operator="between">
      <formula>0</formula>
      <formula>0.375</formula>
    </cfRule>
  </conditionalFormatting>
  <conditionalFormatting sqref="AG117">
    <cfRule type="cellIs" dxfId="9955" priority="12965" operator="between">
      <formula>0.76</formula>
      <formula>0.95</formula>
    </cfRule>
    <cfRule type="cellIs" dxfId="9954" priority="12966" operator="between">
      <formula>0.51</formula>
      <formula>0.75</formula>
    </cfRule>
    <cfRule type="cellIs" dxfId="9953" priority="12967" operator="greaterThan">
      <formula>1</formula>
    </cfRule>
    <cfRule type="cellIs" dxfId="9952" priority="12968" operator="between">
      <formula>0.95</formula>
      <formula>1</formula>
    </cfRule>
    <cfRule type="cellIs" dxfId="9951" priority="12969" stopIfTrue="1" operator="between">
      <formula>0</formula>
      <formula>0.5</formula>
    </cfRule>
  </conditionalFormatting>
  <conditionalFormatting sqref="S117:S118">
    <cfRule type="cellIs" dxfId="9950" priority="12960" operator="between">
      <formula>0.76</formula>
      <formula>0.95</formula>
    </cfRule>
    <cfRule type="cellIs" dxfId="9949" priority="12961" operator="between">
      <formula>0.51</formula>
      <formula>0.75</formula>
    </cfRule>
    <cfRule type="cellIs" dxfId="9948" priority="12962" operator="greaterThan">
      <formula>1</formula>
    </cfRule>
    <cfRule type="cellIs" dxfId="9947" priority="12963" operator="between">
      <formula>0.95</formula>
      <formula>1</formula>
    </cfRule>
    <cfRule type="cellIs" dxfId="9946" priority="12964" stopIfTrue="1" operator="between">
      <formula>0</formula>
      <formula>0.5</formula>
    </cfRule>
  </conditionalFormatting>
  <conditionalFormatting sqref="V117:V118">
    <cfRule type="cellIs" dxfId="9945" priority="12955" operator="between">
      <formula>0.376</formula>
      <formula>0.475</formula>
    </cfRule>
    <cfRule type="cellIs" dxfId="9944" priority="12956" operator="between">
      <formula>0.2551</formula>
      <formula>0.3751</formula>
    </cfRule>
    <cfRule type="cellIs" dxfId="9943" priority="12957" operator="greaterThan">
      <formula>0.505</formula>
    </cfRule>
    <cfRule type="cellIs" dxfId="9942" priority="12958" operator="between">
      <formula>0.48</formula>
      <formula>0.5</formula>
    </cfRule>
    <cfRule type="cellIs" dxfId="9941" priority="12959" stopIfTrue="1" operator="between">
      <formula>0</formula>
      <formula>0.255</formula>
    </cfRule>
  </conditionalFormatting>
  <conditionalFormatting sqref="Z117">
    <cfRule type="cellIs" dxfId="9940" priority="12925" operator="between">
      <formula>0.76</formula>
      <formula>0.95</formula>
    </cfRule>
    <cfRule type="cellIs" dxfId="9939" priority="12926" operator="between">
      <formula>0.51</formula>
      <formula>0.75</formula>
    </cfRule>
    <cfRule type="cellIs" dxfId="9938" priority="12927" operator="greaterThan">
      <formula>1</formula>
    </cfRule>
    <cfRule type="cellIs" dxfId="9937" priority="12928" operator="between">
      <formula>0.95</formula>
      <formula>1</formula>
    </cfRule>
    <cfRule type="cellIs" dxfId="9936" priority="12929" stopIfTrue="1" operator="between">
      <formula>0</formula>
      <formula>0.5</formula>
    </cfRule>
  </conditionalFormatting>
  <conditionalFormatting sqref="AG118">
    <cfRule type="cellIs" dxfId="9935" priority="12885" operator="between">
      <formula>0.76</formula>
      <formula>0.95</formula>
    </cfRule>
    <cfRule type="cellIs" dxfId="9934" priority="12886" operator="between">
      <formula>0.51</formula>
      <formula>0.75</formula>
    </cfRule>
    <cfRule type="cellIs" dxfId="9933" priority="12887" operator="greaterThan">
      <formula>1</formula>
    </cfRule>
    <cfRule type="cellIs" dxfId="9932" priority="12888" operator="between">
      <formula>0.95</formula>
      <formula>1</formula>
    </cfRule>
    <cfRule type="cellIs" dxfId="9931" priority="12889" stopIfTrue="1" operator="between">
      <formula>0</formula>
      <formula>0.5</formula>
    </cfRule>
  </conditionalFormatting>
  <conditionalFormatting sqref="AF121 R121 Y121 AH121:AI121">
    <cfRule type="cellIs" dxfId="9930" priority="12860" operator="between">
      <formula>0.76</formula>
      <formula>0.95</formula>
    </cfRule>
    <cfRule type="cellIs" dxfId="9929" priority="12861" operator="between">
      <formula>0.51</formula>
      <formula>0.75</formula>
    </cfRule>
    <cfRule type="cellIs" dxfId="9928" priority="12862" operator="greaterThan">
      <formula>1</formula>
    </cfRule>
    <cfRule type="cellIs" dxfId="9927" priority="12863" operator="between">
      <formula>0.95</formula>
      <formula>1</formula>
    </cfRule>
    <cfRule type="cellIs" dxfId="9926" priority="12864" stopIfTrue="1" operator="between">
      <formula>0</formula>
      <formula>0.5</formula>
    </cfRule>
  </conditionalFormatting>
  <conditionalFormatting sqref="T121">
    <cfRule type="cellIs" dxfId="9925" priority="12855" operator="between">
      <formula>0.3751</formula>
      <formula>0.475</formula>
    </cfRule>
    <cfRule type="cellIs" dxfId="9924" priority="12856" operator="between">
      <formula>0.2551</formula>
      <formula>0.375</formula>
    </cfRule>
    <cfRule type="cellIs" dxfId="9923" priority="12857" operator="greaterThan">
      <formula>0.505</formula>
    </cfRule>
    <cfRule type="cellIs" dxfId="9922" priority="12858" operator="between">
      <formula>0.48</formula>
      <formula>0.5</formula>
    </cfRule>
    <cfRule type="cellIs" dxfId="9921" priority="12859" stopIfTrue="1" operator="between">
      <formula>0</formula>
      <formula>0.255</formula>
    </cfRule>
  </conditionalFormatting>
  <conditionalFormatting sqref="AA121:AB121">
    <cfRule type="cellIs" dxfId="9920" priority="12850" operator="between">
      <formula>0.56251</formula>
      <formula>0.7125</formula>
    </cfRule>
    <cfRule type="cellIs" dxfId="9919" priority="12851" operator="between">
      <formula>0.3751</formula>
      <formula>0.5625</formula>
    </cfRule>
    <cfRule type="cellIs" dxfId="9918" priority="12852" operator="greaterThan">
      <formula>0.751</formula>
    </cfRule>
    <cfRule type="cellIs" dxfId="9917" priority="12853" operator="between">
      <formula>0.71251</formula>
      <formula>0.75</formula>
    </cfRule>
    <cfRule type="cellIs" dxfId="9916" priority="12854" stopIfTrue="1" operator="between">
      <formula>0</formula>
      <formula>0.375</formula>
    </cfRule>
  </conditionalFormatting>
  <conditionalFormatting sqref="U121">
    <cfRule type="cellIs" dxfId="9915" priority="12840" operator="between">
      <formula>0.376</formula>
      <formula>0.475</formula>
    </cfRule>
    <cfRule type="cellIs" dxfId="9914" priority="12841" operator="between">
      <formula>0.2551</formula>
      <formula>0.3751</formula>
    </cfRule>
    <cfRule type="cellIs" dxfId="9913" priority="12842" operator="greaterThan">
      <formula>0.505</formula>
    </cfRule>
    <cfRule type="cellIs" dxfId="9912" priority="12843" operator="between">
      <formula>0.48</formula>
      <formula>0.5</formula>
    </cfRule>
    <cfRule type="cellIs" dxfId="9911" priority="12844" stopIfTrue="1" operator="between">
      <formula>0</formula>
      <formula>0.255</formula>
    </cfRule>
  </conditionalFormatting>
  <conditionalFormatting sqref="AG121">
    <cfRule type="cellIs" dxfId="9910" priority="12800" operator="between">
      <formula>0.76</formula>
      <formula>0.95</formula>
    </cfRule>
    <cfRule type="cellIs" dxfId="9909" priority="12801" operator="between">
      <formula>0.51</formula>
      <formula>0.75</formula>
    </cfRule>
    <cfRule type="cellIs" dxfId="9908" priority="12802" operator="greaterThan">
      <formula>1</formula>
    </cfRule>
    <cfRule type="cellIs" dxfId="9907" priority="12803" operator="between">
      <formula>0.95</formula>
      <formula>1</formula>
    </cfRule>
    <cfRule type="cellIs" dxfId="9906" priority="12804" stopIfTrue="1" operator="between">
      <formula>0</formula>
      <formula>0.5</formula>
    </cfRule>
  </conditionalFormatting>
  <conditionalFormatting sqref="Z122">
    <cfRule type="cellIs" dxfId="9905" priority="12690" operator="between">
      <formula>0.76</formula>
      <formula>0.95</formula>
    </cfRule>
    <cfRule type="cellIs" dxfId="9904" priority="12691" operator="between">
      <formula>0.51</formula>
      <formula>0.75</formula>
    </cfRule>
    <cfRule type="cellIs" dxfId="9903" priority="12692" operator="greaterThan">
      <formula>1</formula>
    </cfRule>
    <cfRule type="cellIs" dxfId="9902" priority="12693" operator="between">
      <formula>0.95</formula>
      <formula>1</formula>
    </cfRule>
    <cfRule type="cellIs" dxfId="9901" priority="12694" stopIfTrue="1" operator="between">
      <formula>0</formula>
      <formula>0.5</formula>
    </cfRule>
  </conditionalFormatting>
  <conditionalFormatting sqref="V121">
    <cfRule type="cellIs" dxfId="9900" priority="12790" operator="between">
      <formula>0.376</formula>
      <formula>0.475</formula>
    </cfRule>
    <cfRule type="cellIs" dxfId="9899" priority="12791" operator="between">
      <formula>0.2551</formula>
      <formula>0.3751</formula>
    </cfRule>
    <cfRule type="cellIs" dxfId="9898" priority="12792" operator="greaterThan">
      <formula>0.505</formula>
    </cfRule>
    <cfRule type="cellIs" dxfId="9897" priority="12793" operator="between">
      <formula>0.48</formula>
      <formula>0.5</formula>
    </cfRule>
    <cfRule type="cellIs" dxfId="9896" priority="12794" stopIfTrue="1" operator="between">
      <formula>0</formula>
      <formula>0.255</formula>
    </cfRule>
  </conditionalFormatting>
  <conditionalFormatting sqref="S121">
    <cfRule type="cellIs" dxfId="9895" priority="12785" operator="between">
      <formula>0.76</formula>
      <formula>0.95</formula>
    </cfRule>
    <cfRule type="cellIs" dxfId="9894" priority="12786" operator="between">
      <formula>0.51</formula>
      <formula>0.75</formula>
    </cfRule>
    <cfRule type="cellIs" dxfId="9893" priority="12787" operator="greaterThan">
      <formula>1</formula>
    </cfRule>
    <cfRule type="cellIs" dxfId="9892" priority="12788" operator="between">
      <formula>0.95</formula>
      <formula>1</formula>
    </cfRule>
    <cfRule type="cellIs" dxfId="9891" priority="12789" stopIfTrue="1" operator="between">
      <formula>0</formula>
      <formula>0.5</formula>
    </cfRule>
  </conditionalFormatting>
  <conditionalFormatting sqref="AC121">
    <cfRule type="cellIs" dxfId="9890" priority="12780" operator="between">
      <formula>0.56251</formula>
      <formula>0.7125</formula>
    </cfRule>
    <cfRule type="cellIs" dxfId="9889" priority="12781" operator="between">
      <formula>0.3751</formula>
      <formula>0.5625</formula>
    </cfRule>
    <cfRule type="cellIs" dxfId="9888" priority="12782" operator="greaterThan">
      <formula>0.751</formula>
    </cfRule>
    <cfRule type="cellIs" dxfId="9887" priority="12783" operator="between">
      <formula>0.71251</formula>
      <formula>0.75</formula>
    </cfRule>
    <cfRule type="cellIs" dxfId="9886" priority="12784" stopIfTrue="1" operator="between">
      <formula>0</formula>
      <formula>0.375</formula>
    </cfRule>
  </conditionalFormatting>
  <conditionalFormatting sqref="AF122 R122 Y122 AH122:AI122">
    <cfRule type="cellIs" dxfId="9885" priority="12775" operator="between">
      <formula>0.76</formula>
      <formula>0.95</formula>
    </cfRule>
    <cfRule type="cellIs" dxfId="9884" priority="12776" operator="between">
      <formula>0.51</formula>
      <formula>0.75</formula>
    </cfRule>
    <cfRule type="cellIs" dxfId="9883" priority="12777" operator="greaterThan">
      <formula>1</formula>
    </cfRule>
    <cfRule type="cellIs" dxfId="9882" priority="12778" operator="between">
      <formula>0.95</formula>
      <formula>1</formula>
    </cfRule>
    <cfRule type="cellIs" dxfId="9881" priority="12779" stopIfTrue="1" operator="between">
      <formula>0</formula>
      <formula>0.5</formula>
    </cfRule>
  </conditionalFormatting>
  <conditionalFormatting sqref="T122">
    <cfRule type="cellIs" dxfId="9880" priority="12770" operator="between">
      <formula>0.3751</formula>
      <formula>0.475</formula>
    </cfRule>
    <cfRule type="cellIs" dxfId="9879" priority="12771" operator="between">
      <formula>0.2551</formula>
      <formula>0.375</formula>
    </cfRule>
    <cfRule type="cellIs" dxfId="9878" priority="12772" operator="greaterThan">
      <formula>0.505</formula>
    </cfRule>
    <cfRule type="cellIs" dxfId="9877" priority="12773" operator="between">
      <formula>0.48</formula>
      <formula>0.5</formula>
    </cfRule>
    <cfRule type="cellIs" dxfId="9876" priority="12774" stopIfTrue="1" operator="between">
      <formula>0</formula>
      <formula>0.255</formula>
    </cfRule>
  </conditionalFormatting>
  <conditionalFormatting sqref="AA122:AB122">
    <cfRule type="cellIs" dxfId="9875" priority="12765" operator="between">
      <formula>0.56251</formula>
      <formula>0.7125</formula>
    </cfRule>
    <cfRule type="cellIs" dxfId="9874" priority="12766" operator="between">
      <formula>0.3751</formula>
      <formula>0.5625</formula>
    </cfRule>
    <cfRule type="cellIs" dxfId="9873" priority="12767" operator="greaterThan">
      <formula>0.751</formula>
    </cfRule>
    <cfRule type="cellIs" dxfId="9872" priority="12768" operator="between">
      <formula>0.71251</formula>
      <formula>0.75</formula>
    </cfRule>
    <cfRule type="cellIs" dxfId="9871" priority="12769" stopIfTrue="1" operator="between">
      <formula>0</formula>
      <formula>0.375</formula>
    </cfRule>
  </conditionalFormatting>
  <conditionalFormatting sqref="U122">
    <cfRule type="cellIs" dxfId="9870" priority="12755" operator="between">
      <formula>0.376</formula>
      <formula>0.475</formula>
    </cfRule>
    <cfRule type="cellIs" dxfId="9869" priority="12756" operator="between">
      <formula>0.2551</formula>
      <formula>0.3751</formula>
    </cfRule>
    <cfRule type="cellIs" dxfId="9868" priority="12757" operator="greaterThan">
      <formula>0.505</formula>
    </cfRule>
    <cfRule type="cellIs" dxfId="9867" priority="12758" operator="between">
      <formula>0.48</formula>
      <formula>0.5</formula>
    </cfRule>
    <cfRule type="cellIs" dxfId="9866" priority="12759" stopIfTrue="1" operator="between">
      <formula>0</formula>
      <formula>0.255</formula>
    </cfRule>
  </conditionalFormatting>
  <conditionalFormatting sqref="S122">
    <cfRule type="cellIs" dxfId="9865" priority="12710" operator="between">
      <formula>0.76</formula>
      <formula>0.95</formula>
    </cfRule>
    <cfRule type="cellIs" dxfId="9864" priority="12711" operator="between">
      <formula>0.51</formula>
      <formula>0.75</formula>
    </cfRule>
    <cfRule type="cellIs" dxfId="9863" priority="12712" operator="greaterThan">
      <formula>1</formula>
    </cfRule>
    <cfRule type="cellIs" dxfId="9862" priority="12713" operator="between">
      <formula>0.95</formula>
      <formula>1</formula>
    </cfRule>
    <cfRule type="cellIs" dxfId="9861" priority="12714" stopIfTrue="1" operator="between">
      <formula>0</formula>
      <formula>0.5</formula>
    </cfRule>
  </conditionalFormatting>
  <conditionalFormatting sqref="V122">
    <cfRule type="cellIs" dxfId="9860" priority="12715" operator="between">
      <formula>0.376</formula>
      <formula>0.475</formula>
    </cfRule>
    <cfRule type="cellIs" dxfId="9859" priority="12716" operator="between">
      <formula>0.2551</formula>
      <formula>0.3751</formula>
    </cfRule>
    <cfRule type="cellIs" dxfId="9858" priority="12717" operator="greaterThan">
      <formula>0.505</formula>
    </cfRule>
    <cfRule type="cellIs" dxfId="9857" priority="12718" operator="between">
      <formula>0.48</formula>
      <formula>0.5</formula>
    </cfRule>
    <cfRule type="cellIs" dxfId="9856" priority="12719" stopIfTrue="1" operator="between">
      <formula>0</formula>
      <formula>0.255</formula>
    </cfRule>
  </conditionalFormatting>
  <conditionalFormatting sqref="AC122">
    <cfRule type="cellIs" dxfId="9855" priority="12705" operator="between">
      <formula>0.56251</formula>
      <formula>0.7125</formula>
    </cfRule>
    <cfRule type="cellIs" dxfId="9854" priority="12706" operator="between">
      <formula>0.3751</formula>
      <formula>0.5625</formula>
    </cfRule>
    <cfRule type="cellIs" dxfId="9853" priority="12707" operator="greaterThan">
      <formula>0.751</formula>
    </cfRule>
    <cfRule type="cellIs" dxfId="9852" priority="12708" operator="between">
      <formula>0.71251</formula>
      <formula>0.75</formula>
    </cfRule>
    <cfRule type="cellIs" dxfId="9851" priority="12709" stopIfTrue="1" operator="between">
      <formula>0</formula>
      <formula>0.375</formula>
    </cfRule>
  </conditionalFormatting>
  <conditionalFormatting sqref="AG122">
    <cfRule type="cellIs" dxfId="9850" priority="12685" operator="between">
      <formula>0.76</formula>
      <formula>0.95</formula>
    </cfRule>
    <cfRule type="cellIs" dxfId="9849" priority="12686" operator="between">
      <formula>0.51</formula>
      <formula>0.75</formula>
    </cfRule>
    <cfRule type="cellIs" dxfId="9848" priority="12687" operator="greaterThan">
      <formula>1</formula>
    </cfRule>
    <cfRule type="cellIs" dxfId="9847" priority="12688" operator="between">
      <formula>0.95</formula>
      <formula>1</formula>
    </cfRule>
    <cfRule type="cellIs" dxfId="9846" priority="12689" stopIfTrue="1" operator="between">
      <formula>0</formula>
      <formula>0.5</formula>
    </cfRule>
  </conditionalFormatting>
  <conditionalFormatting sqref="Z123">
    <cfRule type="cellIs" dxfId="9845" priority="12615" operator="between">
      <formula>0.76</formula>
      <formula>0.95</formula>
    </cfRule>
    <cfRule type="cellIs" dxfId="9844" priority="12616" operator="between">
      <formula>0.51</formula>
      <formula>0.75</formula>
    </cfRule>
    <cfRule type="cellIs" dxfId="9843" priority="12617" operator="greaterThan">
      <formula>1</formula>
    </cfRule>
    <cfRule type="cellIs" dxfId="9842" priority="12618" operator="between">
      <formula>0.95</formula>
      <formula>1</formula>
    </cfRule>
    <cfRule type="cellIs" dxfId="9841" priority="12619" stopIfTrue="1" operator="between">
      <formula>0</formula>
      <formula>0.5</formula>
    </cfRule>
  </conditionalFormatting>
  <conditionalFormatting sqref="AF123 R123 Y123 AH123:AI123">
    <cfRule type="cellIs" dxfId="9840" priority="12680" operator="between">
      <formula>0.76</formula>
      <formula>0.95</formula>
    </cfRule>
    <cfRule type="cellIs" dxfId="9839" priority="12681" operator="between">
      <formula>0.51</formula>
      <formula>0.75</formula>
    </cfRule>
    <cfRule type="cellIs" dxfId="9838" priority="12682" operator="greaterThan">
      <formula>1</formula>
    </cfRule>
    <cfRule type="cellIs" dxfId="9837" priority="12683" operator="between">
      <formula>0.95</formula>
      <formula>1</formula>
    </cfRule>
    <cfRule type="cellIs" dxfId="9836" priority="12684" stopIfTrue="1" operator="between">
      <formula>0</formula>
      <formula>0.5</formula>
    </cfRule>
  </conditionalFormatting>
  <conditionalFormatting sqref="T123">
    <cfRule type="cellIs" dxfId="9835" priority="12675" operator="between">
      <formula>0.3751</formula>
      <formula>0.475</formula>
    </cfRule>
    <cfRule type="cellIs" dxfId="9834" priority="12676" operator="between">
      <formula>0.2551</formula>
      <formula>0.375</formula>
    </cfRule>
    <cfRule type="cellIs" dxfId="9833" priority="12677" operator="greaterThan">
      <formula>0.505</formula>
    </cfRule>
    <cfRule type="cellIs" dxfId="9832" priority="12678" operator="between">
      <formula>0.48</formula>
      <formula>0.5</formula>
    </cfRule>
    <cfRule type="cellIs" dxfId="9831" priority="12679" stopIfTrue="1" operator="between">
      <formula>0</formula>
      <formula>0.255</formula>
    </cfRule>
  </conditionalFormatting>
  <conditionalFormatting sqref="AA123:AB123">
    <cfRule type="cellIs" dxfId="9830" priority="12670" operator="between">
      <formula>0.56251</formula>
      <formula>0.7125</formula>
    </cfRule>
    <cfRule type="cellIs" dxfId="9829" priority="12671" operator="between">
      <formula>0.3751</formula>
      <formula>0.5625</formula>
    </cfRule>
    <cfRule type="cellIs" dxfId="9828" priority="12672" operator="greaterThan">
      <formula>0.751</formula>
    </cfRule>
    <cfRule type="cellIs" dxfId="9827" priority="12673" operator="between">
      <formula>0.71251</formula>
      <formula>0.75</formula>
    </cfRule>
    <cfRule type="cellIs" dxfId="9826" priority="12674" stopIfTrue="1" operator="between">
      <formula>0</formula>
      <formula>0.375</formula>
    </cfRule>
  </conditionalFormatting>
  <conditionalFormatting sqref="U123">
    <cfRule type="cellIs" dxfId="9825" priority="12660" operator="between">
      <formula>0.376</formula>
      <formula>0.475</formula>
    </cfRule>
    <cfRule type="cellIs" dxfId="9824" priority="12661" operator="between">
      <formula>0.2551</formula>
      <formula>0.3751</formula>
    </cfRule>
    <cfRule type="cellIs" dxfId="9823" priority="12662" operator="greaterThan">
      <formula>0.505</formula>
    </cfRule>
    <cfRule type="cellIs" dxfId="9822" priority="12663" operator="between">
      <formula>0.48</formula>
      <formula>0.5</formula>
    </cfRule>
    <cfRule type="cellIs" dxfId="9821" priority="12664" stopIfTrue="1" operator="between">
      <formula>0</formula>
      <formula>0.255</formula>
    </cfRule>
  </conditionalFormatting>
  <conditionalFormatting sqref="S123">
    <cfRule type="cellIs" dxfId="9820" priority="12635" operator="between">
      <formula>0.76</formula>
      <formula>0.95</formula>
    </cfRule>
    <cfRule type="cellIs" dxfId="9819" priority="12636" operator="between">
      <formula>0.51</formula>
      <formula>0.75</formula>
    </cfRule>
    <cfRule type="cellIs" dxfId="9818" priority="12637" operator="greaterThan">
      <formula>1</formula>
    </cfRule>
    <cfRule type="cellIs" dxfId="9817" priority="12638" operator="between">
      <formula>0.95</formula>
      <formula>1</formula>
    </cfRule>
    <cfRule type="cellIs" dxfId="9816" priority="12639" stopIfTrue="1" operator="between">
      <formula>0</formula>
      <formula>0.5</formula>
    </cfRule>
  </conditionalFormatting>
  <conditionalFormatting sqref="V123">
    <cfRule type="cellIs" dxfId="9815" priority="12640" operator="between">
      <formula>0.376</formula>
      <formula>0.475</formula>
    </cfRule>
    <cfRule type="cellIs" dxfId="9814" priority="12641" operator="between">
      <formula>0.2551</formula>
      <formula>0.3751</formula>
    </cfRule>
    <cfRule type="cellIs" dxfId="9813" priority="12642" operator="greaterThan">
      <formula>0.505</formula>
    </cfRule>
    <cfRule type="cellIs" dxfId="9812" priority="12643" operator="between">
      <formula>0.48</formula>
      <formula>0.5</formula>
    </cfRule>
    <cfRule type="cellIs" dxfId="9811" priority="12644" stopIfTrue="1" operator="between">
      <formula>0</formula>
      <formula>0.255</formula>
    </cfRule>
  </conditionalFormatting>
  <conditionalFormatting sqref="AC123">
    <cfRule type="cellIs" dxfId="9810" priority="12630" operator="between">
      <formula>0.56251</formula>
      <formula>0.7125</formula>
    </cfRule>
    <cfRule type="cellIs" dxfId="9809" priority="12631" operator="between">
      <formula>0.3751</formula>
      <formula>0.5625</formula>
    </cfRule>
    <cfRule type="cellIs" dxfId="9808" priority="12632" operator="greaterThan">
      <formula>0.751</formula>
    </cfRule>
    <cfRule type="cellIs" dxfId="9807" priority="12633" operator="between">
      <formula>0.71251</formula>
      <formula>0.75</formula>
    </cfRule>
    <cfRule type="cellIs" dxfId="9806" priority="12634" stopIfTrue="1" operator="between">
      <formula>0</formula>
      <formula>0.375</formula>
    </cfRule>
  </conditionalFormatting>
  <conditionalFormatting sqref="AG123">
    <cfRule type="cellIs" dxfId="9805" priority="12610" operator="between">
      <formula>0.76</formula>
      <formula>0.95</formula>
    </cfRule>
    <cfRule type="cellIs" dxfId="9804" priority="12611" operator="between">
      <formula>0.51</formula>
      <formula>0.75</formula>
    </cfRule>
    <cfRule type="cellIs" dxfId="9803" priority="12612" operator="greaterThan">
      <formula>1</formula>
    </cfRule>
    <cfRule type="cellIs" dxfId="9802" priority="12613" operator="between">
      <formula>0.95</formula>
      <formula>1</formula>
    </cfRule>
    <cfRule type="cellIs" dxfId="9801" priority="12614" stopIfTrue="1" operator="between">
      <formula>0</formula>
      <formula>0.5</formula>
    </cfRule>
  </conditionalFormatting>
  <conditionalFormatting sqref="AI306 Z306">
    <cfRule type="cellIs" dxfId="9800" priority="12605" operator="between">
      <formula>0.76</formula>
      <formula>0.95</formula>
    </cfRule>
    <cfRule type="cellIs" dxfId="9799" priority="12606" operator="between">
      <formula>0.51</formula>
      <formula>0.75</formula>
    </cfRule>
    <cfRule type="cellIs" dxfId="9798" priority="12607" operator="greaterThan">
      <formula>1</formula>
    </cfRule>
    <cfRule type="cellIs" dxfId="9797" priority="12608" operator="between">
      <formula>0.95</formula>
      <formula>1</formula>
    </cfRule>
    <cfRule type="cellIs" dxfId="9796" priority="12609" stopIfTrue="1" operator="between">
      <formula>0</formula>
      <formula>0.5</formula>
    </cfRule>
  </conditionalFormatting>
  <conditionalFormatting sqref="R306">
    <cfRule type="cellIs" dxfId="9795" priority="12595" operator="between">
      <formula>0.76</formula>
      <formula>0.95</formula>
    </cfRule>
    <cfRule type="cellIs" dxfId="9794" priority="12596" operator="between">
      <formula>0.51</formula>
      <formula>0.75</formula>
    </cfRule>
    <cfRule type="cellIs" dxfId="9793" priority="12597" operator="greaterThan">
      <formula>1</formula>
    </cfRule>
    <cfRule type="cellIs" dxfId="9792" priority="12598" operator="between">
      <formula>0.95</formula>
      <formula>1</formula>
    </cfRule>
    <cfRule type="cellIs" dxfId="9791" priority="12599" stopIfTrue="1" operator="between">
      <formula>0</formula>
      <formula>0.5</formula>
    </cfRule>
  </conditionalFormatting>
  <conditionalFormatting sqref="Y306">
    <cfRule type="cellIs" dxfId="9790" priority="12590" operator="between">
      <formula>0.76</formula>
      <formula>0.95</formula>
    </cfRule>
    <cfRule type="cellIs" dxfId="9789" priority="12591" operator="between">
      <formula>0.51</formula>
      <formula>0.75</formula>
    </cfRule>
    <cfRule type="cellIs" dxfId="9788" priority="12592" operator="greaterThan">
      <formula>1</formula>
    </cfRule>
    <cfRule type="cellIs" dxfId="9787" priority="12593" operator="between">
      <formula>0.95</formula>
      <formula>1</formula>
    </cfRule>
    <cfRule type="cellIs" dxfId="9786" priority="12594" stopIfTrue="1" operator="between">
      <formula>0</formula>
      <formula>0.5</formula>
    </cfRule>
  </conditionalFormatting>
  <conditionalFormatting sqref="AF306">
    <cfRule type="cellIs" dxfId="9785" priority="12585" operator="between">
      <formula>0.76</formula>
      <formula>0.95</formula>
    </cfRule>
    <cfRule type="cellIs" dxfId="9784" priority="12586" operator="between">
      <formula>0.51</formula>
      <formula>0.75</formula>
    </cfRule>
    <cfRule type="cellIs" dxfId="9783" priority="12587" operator="greaterThan">
      <formula>1</formula>
    </cfRule>
    <cfRule type="cellIs" dxfId="9782" priority="12588" operator="between">
      <formula>0.95</formula>
      <formula>1</formula>
    </cfRule>
    <cfRule type="cellIs" dxfId="9781" priority="12589" stopIfTrue="1" operator="between">
      <formula>0</formula>
      <formula>0.5</formula>
    </cfRule>
  </conditionalFormatting>
  <conditionalFormatting sqref="AH306">
    <cfRule type="cellIs" dxfId="9780" priority="12580" operator="between">
      <formula>0.76</formula>
      <formula>0.95</formula>
    </cfRule>
    <cfRule type="cellIs" dxfId="9779" priority="12581" operator="between">
      <formula>0.51</formula>
      <formula>0.75</formula>
    </cfRule>
    <cfRule type="cellIs" dxfId="9778" priority="12582" operator="greaterThan">
      <formula>1</formula>
    </cfRule>
    <cfRule type="cellIs" dxfId="9777" priority="12583" operator="between">
      <formula>0.95</formula>
      <formula>1</formula>
    </cfRule>
    <cfRule type="cellIs" dxfId="9776" priority="12584" stopIfTrue="1" operator="between">
      <formula>0</formula>
      <formula>0.5</formula>
    </cfRule>
  </conditionalFormatting>
  <conditionalFormatting sqref="T306">
    <cfRule type="cellIs" dxfId="9775" priority="12565" operator="between">
      <formula>0.3751</formula>
      <formula>0.475</formula>
    </cfRule>
    <cfRule type="cellIs" dxfId="9774" priority="12566" operator="between">
      <formula>0.2551</formula>
      <formula>0.375</formula>
    </cfRule>
    <cfRule type="cellIs" dxfId="9773" priority="12567" operator="greaterThan">
      <formula>0.505</formula>
    </cfRule>
    <cfRule type="cellIs" dxfId="9772" priority="12568" operator="between">
      <formula>0.48</formula>
      <formula>0.5</formula>
    </cfRule>
    <cfRule type="cellIs" dxfId="9771" priority="12569" stopIfTrue="1" operator="between">
      <formula>0</formula>
      <formula>0.255</formula>
    </cfRule>
  </conditionalFormatting>
  <conditionalFormatting sqref="U306:V306">
    <cfRule type="cellIs" dxfId="9770" priority="12560" operator="between">
      <formula>0.376</formula>
      <formula>0.475</formula>
    </cfRule>
    <cfRule type="cellIs" dxfId="9769" priority="12561" operator="between">
      <formula>0.2551</formula>
      <formula>0.3751</formula>
    </cfRule>
    <cfRule type="cellIs" dxfId="9768" priority="12562" operator="greaterThan">
      <formula>0.505</formula>
    </cfRule>
    <cfRule type="cellIs" dxfId="9767" priority="12563" operator="between">
      <formula>0.48</formula>
      <formula>0.5</formula>
    </cfRule>
    <cfRule type="cellIs" dxfId="9766" priority="12564" stopIfTrue="1" operator="between">
      <formula>0</formula>
      <formula>0.255</formula>
    </cfRule>
  </conditionalFormatting>
  <conditionalFormatting sqref="AA306">
    <cfRule type="cellIs" dxfId="9765" priority="12555" operator="between">
      <formula>0.56251</formula>
      <formula>0.7125</formula>
    </cfRule>
    <cfRule type="cellIs" dxfId="9764" priority="12556" operator="between">
      <formula>0.3751</formula>
      <formula>0.5625</formula>
    </cfRule>
    <cfRule type="cellIs" dxfId="9763" priority="12557" operator="greaterThan">
      <formula>0.751</formula>
    </cfRule>
    <cfRule type="cellIs" dxfId="9762" priority="12558" operator="between">
      <formula>0.71251</formula>
      <formula>0.75</formula>
    </cfRule>
    <cfRule type="cellIs" dxfId="9761" priority="12559" stopIfTrue="1" operator="between">
      <formula>0</formula>
      <formula>0.375</formula>
    </cfRule>
  </conditionalFormatting>
  <conditionalFormatting sqref="AC306">
    <cfRule type="cellIs" dxfId="9760" priority="12550" operator="between">
      <formula>0.56251</formula>
      <formula>0.7125</formula>
    </cfRule>
    <cfRule type="cellIs" dxfId="9759" priority="12551" operator="between">
      <formula>0.3751</formula>
      <formula>0.5625</formula>
    </cfRule>
    <cfRule type="cellIs" dxfId="9758" priority="12552" operator="greaterThan">
      <formula>0.751</formula>
    </cfRule>
    <cfRule type="cellIs" dxfId="9757" priority="12553" operator="between">
      <formula>0.71251</formula>
      <formula>0.75</formula>
    </cfRule>
    <cfRule type="cellIs" dxfId="9756" priority="12554" stopIfTrue="1" operator="between">
      <formula>0</formula>
      <formula>0.375</formula>
    </cfRule>
  </conditionalFormatting>
  <conditionalFormatting sqref="AB306">
    <cfRule type="cellIs" dxfId="9755" priority="12545" operator="between">
      <formula>0.56251</formula>
      <formula>0.7125</formula>
    </cfRule>
    <cfRule type="cellIs" dxfId="9754" priority="12546" operator="between">
      <formula>0.3751</formula>
      <formula>0.5625</formula>
    </cfRule>
    <cfRule type="cellIs" dxfId="9753" priority="12547" operator="greaterThan">
      <formula>0.751</formula>
    </cfRule>
    <cfRule type="cellIs" dxfId="9752" priority="12548" operator="between">
      <formula>0.71251</formula>
      <formula>0.75</formula>
    </cfRule>
    <cfRule type="cellIs" dxfId="9751" priority="12549" stopIfTrue="1" operator="between">
      <formula>0</formula>
      <formula>0.375</formula>
    </cfRule>
  </conditionalFormatting>
  <conditionalFormatting sqref="R307">
    <cfRule type="cellIs" dxfId="9750" priority="12513" operator="between">
      <formula>0.76</formula>
      <formula>0.95</formula>
    </cfRule>
    <cfRule type="cellIs" dxfId="9749" priority="12514" operator="between">
      <formula>0.51</formula>
      <formula>0.75</formula>
    </cfRule>
    <cfRule type="cellIs" dxfId="9748" priority="12515" operator="greaterThan">
      <formula>1</formula>
    </cfRule>
    <cfRule type="cellIs" dxfId="9747" priority="12516" operator="between">
      <formula>0.95</formula>
      <formula>1</formula>
    </cfRule>
    <cfRule type="cellIs" dxfId="9746" priority="12517" stopIfTrue="1" operator="between">
      <formula>0</formula>
      <formula>0.5</formula>
    </cfRule>
  </conditionalFormatting>
  <conditionalFormatting sqref="Y307">
    <cfRule type="cellIs" dxfId="9745" priority="12508" operator="between">
      <formula>0.76</formula>
      <formula>0.95</formula>
    </cfRule>
    <cfRule type="cellIs" dxfId="9744" priority="12509" operator="between">
      <formula>0.51</formula>
      <formula>0.75</formula>
    </cfRule>
    <cfRule type="cellIs" dxfId="9743" priority="12510" operator="greaterThan">
      <formula>1</formula>
    </cfRule>
    <cfRule type="cellIs" dxfId="9742" priority="12511" operator="between">
      <formula>0.95</formula>
      <formula>1</formula>
    </cfRule>
    <cfRule type="cellIs" dxfId="9741" priority="12512" stopIfTrue="1" operator="between">
      <formula>0</formula>
      <formula>0.5</formula>
    </cfRule>
  </conditionalFormatting>
  <conditionalFormatting sqref="AF307">
    <cfRule type="cellIs" dxfId="9740" priority="12503" operator="between">
      <formula>0.76</formula>
      <formula>0.95</formula>
    </cfRule>
    <cfRule type="cellIs" dxfId="9739" priority="12504" operator="between">
      <formula>0.51</formula>
      <formula>0.75</formula>
    </cfRule>
    <cfRule type="cellIs" dxfId="9738" priority="12505" operator="greaterThan">
      <formula>1</formula>
    </cfRule>
    <cfRule type="cellIs" dxfId="9737" priority="12506" operator="between">
      <formula>0.95</formula>
      <formula>1</formula>
    </cfRule>
    <cfRule type="cellIs" dxfId="9736" priority="12507" stopIfTrue="1" operator="between">
      <formula>0</formula>
      <formula>0.5</formula>
    </cfRule>
  </conditionalFormatting>
  <conditionalFormatting sqref="S307">
    <cfRule type="cellIs" dxfId="9735" priority="12441" operator="between">
      <formula>0.76</formula>
      <formula>0.95</formula>
    </cfRule>
    <cfRule type="cellIs" dxfId="9734" priority="12442" operator="between">
      <formula>0.51</formula>
      <formula>0.75</formula>
    </cfRule>
    <cfRule type="cellIs" dxfId="9733" priority="12443" operator="greaterThan">
      <formula>1</formula>
    </cfRule>
    <cfRule type="cellIs" dxfId="9732" priority="12444" operator="between">
      <formula>0.95</formula>
      <formula>1</formula>
    </cfRule>
    <cfRule type="cellIs" dxfId="9731" priority="12445" stopIfTrue="1" operator="between">
      <formula>0</formula>
      <formula>0.5</formula>
    </cfRule>
  </conditionalFormatting>
  <conditionalFormatting sqref="Z307">
    <cfRule type="cellIs" dxfId="9730" priority="12436" operator="between">
      <formula>0.76</formula>
      <formula>0.95</formula>
    </cfRule>
    <cfRule type="cellIs" dxfId="9729" priority="12437" operator="between">
      <formula>0.51</formula>
      <formula>0.75</formula>
    </cfRule>
    <cfRule type="cellIs" dxfId="9728" priority="12438" operator="greaterThan">
      <formula>1</formula>
    </cfRule>
    <cfRule type="cellIs" dxfId="9727" priority="12439" operator="between">
      <formula>0.95</formula>
      <formula>1</formula>
    </cfRule>
    <cfRule type="cellIs" dxfId="9726" priority="12440" stopIfTrue="1" operator="between">
      <formula>0</formula>
      <formula>0.5</formula>
    </cfRule>
  </conditionalFormatting>
  <conditionalFormatting sqref="AG307">
    <cfRule type="cellIs" dxfId="9725" priority="12431" operator="between">
      <formula>0.76</formula>
      <formula>0.95</formula>
    </cfRule>
    <cfRule type="cellIs" dxfId="9724" priority="12432" operator="between">
      <formula>0.51</formula>
      <formula>0.75</formula>
    </cfRule>
    <cfRule type="cellIs" dxfId="9723" priority="12433" operator="greaterThan">
      <formula>1</formula>
    </cfRule>
    <cfRule type="cellIs" dxfId="9722" priority="12434" operator="between">
      <formula>0.95</formula>
      <formula>1</formula>
    </cfRule>
    <cfRule type="cellIs" dxfId="9721" priority="12435" stopIfTrue="1" operator="between">
      <formula>0</formula>
      <formula>0.5</formula>
    </cfRule>
  </conditionalFormatting>
  <conditionalFormatting sqref="R257 Y257:Z257 AF257:AI257">
    <cfRule type="cellIs" dxfId="9720" priority="12426" operator="between">
      <formula>0.76</formula>
      <formula>0.95</formula>
    </cfRule>
    <cfRule type="cellIs" dxfId="9719" priority="12427" operator="between">
      <formula>0.51</formula>
      <formula>0.75</formula>
    </cfRule>
    <cfRule type="cellIs" dxfId="9718" priority="12428" operator="greaterThan">
      <formula>1</formula>
    </cfRule>
    <cfRule type="cellIs" dxfId="9717" priority="12429" operator="between">
      <formula>0.95</formula>
      <formula>1</formula>
    </cfRule>
    <cfRule type="cellIs" dxfId="9716" priority="12430" stopIfTrue="1" operator="between">
      <formula>0</formula>
      <formula>0.5</formula>
    </cfRule>
  </conditionalFormatting>
  <conditionalFormatting sqref="T257">
    <cfRule type="cellIs" dxfId="9715" priority="12421" operator="between">
      <formula>0.3751</formula>
      <formula>0.475</formula>
    </cfRule>
    <cfRule type="cellIs" dxfId="9714" priority="12422" operator="between">
      <formula>0.2551</formula>
      <formula>0.375</formula>
    </cfRule>
    <cfRule type="cellIs" dxfId="9713" priority="12423" operator="greaterThan">
      <formula>0.505</formula>
    </cfRule>
    <cfRule type="cellIs" dxfId="9712" priority="12424" operator="between">
      <formula>0.48</formula>
      <formula>0.5</formula>
    </cfRule>
    <cfRule type="cellIs" dxfId="9711" priority="12425" stopIfTrue="1" operator="between">
      <formula>0</formula>
      <formula>0.255</formula>
    </cfRule>
  </conditionalFormatting>
  <conditionalFormatting sqref="AA257:AC257">
    <cfRule type="cellIs" dxfId="9710" priority="12416" operator="between">
      <formula>0.56251</formula>
      <formula>0.7125</formula>
    </cfRule>
    <cfRule type="cellIs" dxfId="9709" priority="12417" operator="between">
      <formula>0.3751</formula>
      <formula>0.5625</formula>
    </cfRule>
    <cfRule type="cellIs" dxfId="9708" priority="12418" operator="greaterThan">
      <formula>0.751</formula>
    </cfRule>
    <cfRule type="cellIs" dxfId="9707" priority="12419" operator="between">
      <formula>0.71251</formula>
      <formula>0.75</formula>
    </cfRule>
    <cfRule type="cellIs" dxfId="9706" priority="12420" stopIfTrue="1" operator="between">
      <formula>0</formula>
      <formula>0.375</formula>
    </cfRule>
  </conditionalFormatting>
  <conditionalFormatting sqref="U257">
    <cfRule type="cellIs" dxfId="9705" priority="12406" operator="between">
      <formula>0.376</formula>
      <formula>0.475</formula>
    </cfRule>
    <cfRule type="cellIs" dxfId="9704" priority="12407" operator="between">
      <formula>0.2551</formula>
      <formula>0.3751</formula>
    </cfRule>
    <cfRule type="cellIs" dxfId="9703" priority="12408" operator="greaterThan">
      <formula>0.505</formula>
    </cfRule>
    <cfRule type="cellIs" dxfId="9702" priority="12409" operator="between">
      <formula>0.48</formula>
      <formula>0.5</formula>
    </cfRule>
    <cfRule type="cellIs" dxfId="9701" priority="12410" stopIfTrue="1" operator="between">
      <formula>0</formula>
      <formula>0.255</formula>
    </cfRule>
  </conditionalFormatting>
  <conditionalFormatting sqref="R258:S261 Y261:Z261 AF259:AI262 AF258 AH258:AI258 R262 Y258:Y260 Y262">
    <cfRule type="cellIs" dxfId="9700" priority="12398" operator="between">
      <formula>0.76</formula>
      <formula>0.95</formula>
    </cfRule>
    <cfRule type="cellIs" dxfId="9699" priority="12399" operator="between">
      <formula>0.51</formula>
      <formula>0.75</formula>
    </cfRule>
    <cfRule type="cellIs" dxfId="9698" priority="12400" operator="greaterThan">
      <formula>1</formula>
    </cfRule>
    <cfRule type="cellIs" dxfId="9697" priority="12401" operator="between">
      <formula>0.95</formula>
      <formula>1</formula>
    </cfRule>
    <cfRule type="cellIs" dxfId="9696" priority="12402" stopIfTrue="1" operator="between">
      <formula>0</formula>
      <formula>0.5</formula>
    </cfRule>
  </conditionalFormatting>
  <conditionalFormatting sqref="T258:T262">
    <cfRule type="cellIs" dxfId="9695" priority="12393" operator="between">
      <formula>0.3751</formula>
      <formula>0.475</formula>
    </cfRule>
    <cfRule type="cellIs" dxfId="9694" priority="12394" operator="between">
      <formula>0.2551</formula>
      <formula>0.375</formula>
    </cfRule>
    <cfRule type="cellIs" dxfId="9693" priority="12395" operator="greaterThan">
      <formula>0.505</formula>
    </cfRule>
    <cfRule type="cellIs" dxfId="9692" priority="12396" operator="between">
      <formula>0.48</formula>
      <formula>0.5</formula>
    </cfRule>
    <cfRule type="cellIs" dxfId="9691" priority="12397" stopIfTrue="1" operator="between">
      <formula>0</formula>
      <formula>0.255</formula>
    </cfRule>
  </conditionalFormatting>
  <conditionalFormatting sqref="AA258:AC261">
    <cfRule type="cellIs" dxfId="9690" priority="12388" operator="between">
      <formula>0.56251</formula>
      <formula>0.7125</formula>
    </cfRule>
    <cfRule type="cellIs" dxfId="9689" priority="12389" operator="between">
      <formula>0.3751</formula>
      <formula>0.5625</formula>
    </cfRule>
    <cfRule type="cellIs" dxfId="9688" priority="12390" operator="greaterThan">
      <formula>0.751</formula>
    </cfRule>
    <cfRule type="cellIs" dxfId="9687" priority="12391" operator="between">
      <formula>0.71251</formula>
      <formula>0.75</formula>
    </cfRule>
    <cfRule type="cellIs" dxfId="9686" priority="12392" stopIfTrue="1" operator="between">
      <formula>0</formula>
      <formula>0.375</formula>
    </cfRule>
  </conditionalFormatting>
  <conditionalFormatting sqref="U261:V261 U258:U260 U262">
    <cfRule type="cellIs" dxfId="9685" priority="12378" operator="between">
      <formula>0.376</formula>
      <formula>0.475</formula>
    </cfRule>
    <cfRule type="cellIs" dxfId="9684" priority="12379" operator="between">
      <formula>0.2551</formula>
      <formula>0.3751</formula>
    </cfRule>
    <cfRule type="cellIs" dxfId="9683" priority="12380" operator="greaterThan">
      <formula>0.505</formula>
    </cfRule>
    <cfRule type="cellIs" dxfId="9682" priority="12381" operator="between">
      <formula>0.48</formula>
      <formula>0.5</formula>
    </cfRule>
    <cfRule type="cellIs" dxfId="9681" priority="12382" stopIfTrue="1" operator="between">
      <formula>0</formula>
      <formula>0.255</formula>
    </cfRule>
  </conditionalFormatting>
  <conditionalFormatting sqref="V256">
    <cfRule type="cellIs" dxfId="9680" priority="12350" operator="between">
      <formula>0.376</formula>
      <formula>0.475</formula>
    </cfRule>
    <cfRule type="cellIs" dxfId="9679" priority="12351" operator="between">
      <formula>0.2551</formula>
      <formula>0.3751</formula>
    </cfRule>
    <cfRule type="cellIs" dxfId="9678" priority="12352" operator="greaterThan">
      <formula>0.505</formula>
    </cfRule>
    <cfRule type="cellIs" dxfId="9677" priority="12353" operator="between">
      <formula>0.48</formula>
      <formula>0.5</formula>
    </cfRule>
    <cfRule type="cellIs" dxfId="9676" priority="12354" stopIfTrue="1" operator="between">
      <formula>0</formula>
      <formula>0.255</formula>
    </cfRule>
  </conditionalFormatting>
  <conditionalFormatting sqref="AC256">
    <cfRule type="cellIs" dxfId="9675" priority="12345" operator="between">
      <formula>0.56251</formula>
      <formula>0.7125</formula>
    </cfRule>
    <cfRule type="cellIs" dxfId="9674" priority="12346" operator="between">
      <formula>0.3751</formula>
      <formula>0.5625</formula>
    </cfRule>
    <cfRule type="cellIs" dxfId="9673" priority="12347" operator="greaterThan">
      <formula>0.751</formula>
    </cfRule>
    <cfRule type="cellIs" dxfId="9672" priority="12348" operator="between">
      <formula>0.71251</formula>
      <formula>0.75</formula>
    </cfRule>
    <cfRule type="cellIs" dxfId="9671" priority="12349" stopIfTrue="1" operator="between">
      <formula>0</formula>
      <formula>0.375</formula>
    </cfRule>
  </conditionalFormatting>
  <conditionalFormatting sqref="V258:V260">
    <cfRule type="cellIs" dxfId="9670" priority="12340" operator="between">
      <formula>0.376</formula>
      <formula>0.475</formula>
    </cfRule>
    <cfRule type="cellIs" dxfId="9669" priority="12341" operator="between">
      <formula>0.2551</formula>
      <formula>0.3751</formula>
    </cfRule>
    <cfRule type="cellIs" dxfId="9668" priority="12342" operator="greaterThan">
      <formula>0.505</formula>
    </cfRule>
    <cfRule type="cellIs" dxfId="9667" priority="12343" operator="between">
      <formula>0.48</formula>
      <formula>0.5</formula>
    </cfRule>
    <cfRule type="cellIs" dxfId="9666" priority="12344" stopIfTrue="1" operator="between">
      <formula>0</formula>
      <formula>0.255</formula>
    </cfRule>
  </conditionalFormatting>
  <conditionalFormatting sqref="AG258">
    <cfRule type="cellIs" dxfId="9665" priority="12335" operator="between">
      <formula>0.76</formula>
      <formula>0.95</formula>
    </cfRule>
    <cfRule type="cellIs" dxfId="9664" priority="12336" operator="between">
      <formula>0.51</formula>
      <formula>0.75</formula>
    </cfRule>
    <cfRule type="cellIs" dxfId="9663" priority="12337" operator="greaterThan">
      <formula>1</formula>
    </cfRule>
    <cfRule type="cellIs" dxfId="9662" priority="12338" operator="between">
      <formula>0.95</formula>
      <formula>1</formula>
    </cfRule>
    <cfRule type="cellIs" dxfId="9661" priority="12339" stopIfTrue="1" operator="between">
      <formula>0</formula>
      <formula>0.5</formula>
    </cfRule>
  </conditionalFormatting>
  <conditionalFormatting sqref="S262">
    <cfRule type="cellIs" dxfId="9660" priority="12330" operator="between">
      <formula>0.76</formula>
      <formula>0.95</formula>
    </cfRule>
    <cfRule type="cellIs" dxfId="9659" priority="12331" operator="between">
      <formula>0.51</formula>
      <formula>0.75</formula>
    </cfRule>
    <cfRule type="cellIs" dxfId="9658" priority="12332" operator="greaterThan">
      <formula>1</formula>
    </cfRule>
    <cfRule type="cellIs" dxfId="9657" priority="12333" operator="between">
      <formula>0.95</formula>
      <formula>1</formula>
    </cfRule>
    <cfRule type="cellIs" dxfId="9656" priority="12334" stopIfTrue="1" operator="between">
      <formula>0</formula>
      <formula>0.5</formula>
    </cfRule>
  </conditionalFormatting>
  <conditionalFormatting sqref="V262">
    <cfRule type="cellIs" dxfId="9655" priority="12325" operator="between">
      <formula>0.376</formula>
      <formula>0.475</formula>
    </cfRule>
    <cfRule type="cellIs" dxfId="9654" priority="12326" operator="between">
      <formula>0.2551</formula>
      <formula>0.3751</formula>
    </cfRule>
    <cfRule type="cellIs" dxfId="9653" priority="12327" operator="greaterThan">
      <formula>0.505</formula>
    </cfRule>
    <cfRule type="cellIs" dxfId="9652" priority="12328" operator="between">
      <formula>0.48</formula>
      <formula>0.5</formula>
    </cfRule>
    <cfRule type="cellIs" dxfId="9651" priority="12329" stopIfTrue="1" operator="between">
      <formula>0</formula>
      <formula>0.255</formula>
    </cfRule>
  </conditionalFormatting>
  <conditionalFormatting sqref="R177:S177 Y177:Z177 AF177:AI177">
    <cfRule type="cellIs" dxfId="9650" priority="12320" operator="between">
      <formula>0.76</formula>
      <formula>0.95</formula>
    </cfRule>
    <cfRule type="cellIs" dxfId="9649" priority="12321" operator="between">
      <formula>0.51</formula>
      <formula>0.75</formula>
    </cfRule>
    <cfRule type="cellIs" dxfId="9648" priority="12322" operator="greaterThan">
      <formula>1</formula>
    </cfRule>
    <cfRule type="cellIs" dxfId="9647" priority="12323" operator="between">
      <formula>0.95</formula>
      <formula>1</formula>
    </cfRule>
    <cfRule type="cellIs" dxfId="9646" priority="12324" stopIfTrue="1" operator="between">
      <formula>0</formula>
      <formula>0.5</formula>
    </cfRule>
  </conditionalFormatting>
  <conditionalFormatting sqref="T177">
    <cfRule type="cellIs" dxfId="9645" priority="12315" operator="between">
      <formula>0.3751</formula>
      <formula>0.475</formula>
    </cfRule>
    <cfRule type="cellIs" dxfId="9644" priority="12316" operator="between">
      <formula>0.2551</formula>
      <formula>0.375</formula>
    </cfRule>
    <cfRule type="cellIs" dxfId="9643" priority="12317" operator="greaterThan">
      <formula>0.505</formula>
    </cfRule>
    <cfRule type="cellIs" dxfId="9642" priority="12318" operator="between">
      <formula>0.48</formula>
      <formula>0.5</formula>
    </cfRule>
    <cfRule type="cellIs" dxfId="9641" priority="12319" stopIfTrue="1" operator="between">
      <formula>0</formula>
      <formula>0.255</formula>
    </cfRule>
  </conditionalFormatting>
  <conditionalFormatting sqref="AA177:AC177">
    <cfRule type="cellIs" dxfId="9640" priority="12310" operator="between">
      <formula>0.56251</formula>
      <formula>0.7125</formula>
    </cfRule>
    <cfRule type="cellIs" dxfId="9639" priority="12311" operator="between">
      <formula>0.3751</formula>
      <formula>0.5625</formula>
    </cfRule>
    <cfRule type="cellIs" dxfId="9638" priority="12312" operator="greaterThan">
      <formula>0.751</formula>
    </cfRule>
    <cfRule type="cellIs" dxfId="9637" priority="12313" operator="between">
      <formula>0.71251</formula>
      <formula>0.75</formula>
    </cfRule>
    <cfRule type="cellIs" dxfId="9636" priority="12314" stopIfTrue="1" operator="between">
      <formula>0</formula>
      <formula>0.375</formula>
    </cfRule>
  </conditionalFormatting>
  <conditionalFormatting sqref="U177:V177">
    <cfRule type="cellIs" dxfId="9635" priority="12300" operator="between">
      <formula>0.376</formula>
      <formula>0.475</formula>
    </cfRule>
    <cfRule type="cellIs" dxfId="9634" priority="12301" operator="between">
      <formula>0.2551</formula>
      <formula>0.3751</formula>
    </cfRule>
    <cfRule type="cellIs" dxfId="9633" priority="12302" operator="greaterThan">
      <formula>0.505</formula>
    </cfRule>
    <cfRule type="cellIs" dxfId="9632" priority="12303" operator="between">
      <formula>0.48</formula>
      <formula>0.5</formula>
    </cfRule>
    <cfRule type="cellIs" dxfId="9631" priority="12304" stopIfTrue="1" operator="between">
      <formula>0</formula>
      <formula>0.255</formula>
    </cfRule>
  </conditionalFormatting>
  <conditionalFormatting sqref="Y263:Z263 AF263:AI263 R263">
    <cfRule type="cellIs" dxfId="9630" priority="12277" operator="between">
      <formula>0.76</formula>
      <formula>0.95</formula>
    </cfRule>
    <cfRule type="cellIs" dxfId="9629" priority="12278" operator="between">
      <formula>0.51</formula>
      <formula>0.75</formula>
    </cfRule>
    <cfRule type="cellIs" dxfId="9628" priority="12279" operator="greaterThan">
      <formula>1</formula>
    </cfRule>
    <cfRule type="cellIs" dxfId="9627" priority="12280" operator="between">
      <formula>0.95</formula>
      <formula>1</formula>
    </cfRule>
    <cfRule type="cellIs" dxfId="9626" priority="12281" stopIfTrue="1" operator="between">
      <formula>0</formula>
      <formula>0.5</formula>
    </cfRule>
  </conditionalFormatting>
  <conditionalFormatting sqref="T263">
    <cfRule type="cellIs" dxfId="9625" priority="12272" operator="between">
      <formula>0.3751</formula>
      <formula>0.475</formula>
    </cfRule>
    <cfRule type="cellIs" dxfId="9624" priority="12273" operator="between">
      <formula>0.2551</formula>
      <formula>0.375</formula>
    </cfRule>
    <cfRule type="cellIs" dxfId="9623" priority="12274" operator="greaterThan">
      <formula>0.505</formula>
    </cfRule>
    <cfRule type="cellIs" dxfId="9622" priority="12275" operator="between">
      <formula>0.48</formula>
      <formula>0.5</formula>
    </cfRule>
    <cfRule type="cellIs" dxfId="9621" priority="12276" stopIfTrue="1" operator="between">
      <formula>0</formula>
      <formula>0.255</formula>
    </cfRule>
  </conditionalFormatting>
  <conditionalFormatting sqref="AA263:AC263">
    <cfRule type="cellIs" dxfId="9620" priority="12267" operator="between">
      <formula>0.56251</formula>
      <formula>0.7125</formula>
    </cfRule>
    <cfRule type="cellIs" dxfId="9619" priority="12268" operator="between">
      <formula>0.3751</formula>
      <formula>0.5625</formula>
    </cfRule>
    <cfRule type="cellIs" dxfId="9618" priority="12269" operator="greaterThan">
      <formula>0.751</formula>
    </cfRule>
    <cfRule type="cellIs" dxfId="9617" priority="12270" operator="between">
      <formula>0.71251</formula>
      <formula>0.75</formula>
    </cfRule>
    <cfRule type="cellIs" dxfId="9616" priority="12271" stopIfTrue="1" operator="between">
      <formula>0</formula>
      <formula>0.375</formula>
    </cfRule>
  </conditionalFormatting>
  <conditionalFormatting sqref="U263">
    <cfRule type="cellIs" dxfId="9615" priority="12257" operator="between">
      <formula>0.376</formula>
      <formula>0.475</formula>
    </cfRule>
    <cfRule type="cellIs" dxfId="9614" priority="12258" operator="between">
      <formula>0.2551</formula>
      <formula>0.3751</formula>
    </cfRule>
    <cfRule type="cellIs" dxfId="9613" priority="12259" operator="greaterThan">
      <formula>0.505</formula>
    </cfRule>
    <cfRule type="cellIs" dxfId="9612" priority="12260" operator="between">
      <formula>0.48</formula>
      <formula>0.5</formula>
    </cfRule>
    <cfRule type="cellIs" dxfId="9611" priority="12261" stopIfTrue="1" operator="between">
      <formula>0</formula>
      <formula>0.255</formula>
    </cfRule>
  </conditionalFormatting>
  <conditionalFormatting sqref="S263">
    <cfRule type="cellIs" dxfId="9610" priority="12249" operator="between">
      <formula>0.76</formula>
      <formula>0.95</formula>
    </cfRule>
    <cfRule type="cellIs" dxfId="9609" priority="12250" operator="between">
      <formula>0.51</formula>
      <formula>0.75</formula>
    </cfRule>
    <cfRule type="cellIs" dxfId="9608" priority="12251" operator="greaterThan">
      <formula>1</formula>
    </cfRule>
    <cfRule type="cellIs" dxfId="9607" priority="12252" operator="between">
      <formula>0.95</formula>
      <formula>1</formula>
    </cfRule>
    <cfRule type="cellIs" dxfId="9606" priority="12253" stopIfTrue="1" operator="between">
      <formula>0</formula>
      <formula>0.5</formula>
    </cfRule>
  </conditionalFormatting>
  <conditionalFormatting sqref="V263">
    <cfRule type="cellIs" dxfId="9605" priority="12244" operator="between">
      <formula>0.376</formula>
      <formula>0.475</formula>
    </cfRule>
    <cfRule type="cellIs" dxfId="9604" priority="12245" operator="between">
      <formula>0.2551</formula>
      <formula>0.3751</formula>
    </cfRule>
    <cfRule type="cellIs" dxfId="9603" priority="12246" operator="greaterThan">
      <formula>0.505</formula>
    </cfRule>
    <cfRule type="cellIs" dxfId="9602" priority="12247" operator="between">
      <formula>0.48</formula>
      <formula>0.5</formula>
    </cfRule>
    <cfRule type="cellIs" dxfId="9601" priority="12248" stopIfTrue="1" operator="between">
      <formula>0</formula>
      <formula>0.255</formula>
    </cfRule>
  </conditionalFormatting>
  <conditionalFormatting sqref="Y267:Z270 R265:R270 Y265:Y266 AF267:AI267 AF265:AF266 AH265:AI266 AF268:AF270 AH268:AI270">
    <cfRule type="cellIs" dxfId="9600" priority="12239" operator="between">
      <formula>0.76</formula>
      <formula>0.95</formula>
    </cfRule>
    <cfRule type="cellIs" dxfId="9599" priority="12240" operator="between">
      <formula>0.51</formula>
      <formula>0.75</formula>
    </cfRule>
    <cfRule type="cellIs" dxfId="9598" priority="12241" operator="greaterThan">
      <formula>1</formula>
    </cfRule>
    <cfRule type="cellIs" dxfId="9597" priority="12242" operator="between">
      <formula>0.95</formula>
      <formula>1</formula>
    </cfRule>
    <cfRule type="cellIs" dxfId="9596" priority="12243" stopIfTrue="1" operator="between">
      <formula>0</formula>
      <formula>0.5</formula>
    </cfRule>
  </conditionalFormatting>
  <conditionalFormatting sqref="T265:T270">
    <cfRule type="cellIs" dxfId="9595" priority="12234" operator="between">
      <formula>0.3751</formula>
      <formula>0.475</formula>
    </cfRule>
    <cfRule type="cellIs" dxfId="9594" priority="12235" operator="between">
      <formula>0.2551</formula>
      <formula>0.375</formula>
    </cfRule>
    <cfRule type="cellIs" dxfId="9593" priority="12236" operator="greaterThan">
      <formula>0.505</formula>
    </cfRule>
    <cfRule type="cellIs" dxfId="9592" priority="12237" operator="between">
      <formula>0.48</formula>
      <formula>0.5</formula>
    </cfRule>
    <cfRule type="cellIs" dxfId="9591" priority="12238" stopIfTrue="1" operator="between">
      <formula>0</formula>
      <formula>0.255</formula>
    </cfRule>
  </conditionalFormatting>
  <conditionalFormatting sqref="AA265:AC270">
    <cfRule type="cellIs" dxfId="9590" priority="12229" operator="between">
      <formula>0.56251</formula>
      <formula>0.7125</formula>
    </cfRule>
    <cfRule type="cellIs" dxfId="9589" priority="12230" operator="between">
      <formula>0.3751</formula>
      <formula>0.5625</formula>
    </cfRule>
    <cfRule type="cellIs" dxfId="9588" priority="12231" operator="greaterThan">
      <formula>0.751</formula>
    </cfRule>
    <cfRule type="cellIs" dxfId="9587" priority="12232" operator="between">
      <formula>0.71251</formula>
      <formula>0.75</formula>
    </cfRule>
    <cfRule type="cellIs" dxfId="9586" priority="12233" stopIfTrue="1" operator="between">
      <formula>0</formula>
      <formula>0.375</formula>
    </cfRule>
  </conditionalFormatting>
  <conditionalFormatting sqref="U265:U270">
    <cfRule type="cellIs" dxfId="9585" priority="12219" operator="between">
      <formula>0.376</formula>
      <formula>0.475</formula>
    </cfRule>
    <cfRule type="cellIs" dxfId="9584" priority="12220" operator="between">
      <formula>0.2551</formula>
      <formula>0.3751</formula>
    </cfRule>
    <cfRule type="cellIs" dxfId="9583" priority="12221" operator="greaterThan">
      <formula>0.505</formula>
    </cfRule>
    <cfRule type="cellIs" dxfId="9582" priority="12222" operator="between">
      <formula>0.48</formula>
      <formula>0.5</formula>
    </cfRule>
    <cfRule type="cellIs" dxfId="9581" priority="12223" stopIfTrue="1" operator="between">
      <formula>0</formula>
      <formula>0.255</formula>
    </cfRule>
  </conditionalFormatting>
  <conditionalFormatting sqref="S265:S270">
    <cfRule type="cellIs" dxfId="9580" priority="12211" operator="between">
      <formula>0.76</formula>
      <formula>0.95</formula>
    </cfRule>
    <cfRule type="cellIs" dxfId="9579" priority="12212" operator="between">
      <formula>0.51</formula>
      <formula>0.75</formula>
    </cfRule>
    <cfRule type="cellIs" dxfId="9578" priority="12213" operator="greaterThan">
      <formula>1</formula>
    </cfRule>
    <cfRule type="cellIs" dxfId="9577" priority="12214" operator="between">
      <formula>0.95</formula>
      <formula>1</formula>
    </cfRule>
    <cfRule type="cellIs" dxfId="9576" priority="12215" stopIfTrue="1" operator="between">
      <formula>0</formula>
      <formula>0.5</formula>
    </cfRule>
  </conditionalFormatting>
  <conditionalFormatting sqref="V265:V270">
    <cfRule type="cellIs" dxfId="9575" priority="12206" operator="between">
      <formula>0.376</formula>
      <formula>0.475</formula>
    </cfRule>
    <cfRule type="cellIs" dxfId="9574" priority="12207" operator="between">
      <formula>0.2551</formula>
      <formula>0.3751</formula>
    </cfRule>
    <cfRule type="cellIs" dxfId="9573" priority="12208" operator="greaterThan">
      <formula>0.505</formula>
    </cfRule>
    <cfRule type="cellIs" dxfId="9572" priority="12209" operator="between">
      <formula>0.48</formula>
      <formula>0.5</formula>
    </cfRule>
    <cfRule type="cellIs" dxfId="9571" priority="12210" stopIfTrue="1" operator="between">
      <formula>0</formula>
      <formula>0.255</formula>
    </cfRule>
  </conditionalFormatting>
  <conditionalFormatting sqref="Y271 AF271:AI271 R271">
    <cfRule type="cellIs" dxfId="9570" priority="12201" operator="between">
      <formula>0.76</formula>
      <formula>0.95</formula>
    </cfRule>
    <cfRule type="cellIs" dxfId="9569" priority="12202" operator="between">
      <formula>0.51</formula>
      <formula>0.75</formula>
    </cfRule>
    <cfRule type="cellIs" dxfId="9568" priority="12203" operator="greaterThan">
      <formula>1</formula>
    </cfRule>
    <cfRule type="cellIs" dxfId="9567" priority="12204" operator="between">
      <formula>0.95</formula>
      <formula>1</formula>
    </cfRule>
    <cfRule type="cellIs" dxfId="9566" priority="12205" stopIfTrue="1" operator="between">
      <formula>0</formula>
      <formula>0.5</formula>
    </cfRule>
  </conditionalFormatting>
  <conditionalFormatting sqref="T271">
    <cfRule type="cellIs" dxfId="9565" priority="12196" operator="between">
      <formula>0.3751</formula>
      <formula>0.475</formula>
    </cfRule>
    <cfRule type="cellIs" dxfId="9564" priority="12197" operator="between">
      <formula>0.2551</formula>
      <formula>0.375</formula>
    </cfRule>
    <cfRule type="cellIs" dxfId="9563" priority="12198" operator="greaterThan">
      <formula>0.505</formula>
    </cfRule>
    <cfRule type="cellIs" dxfId="9562" priority="12199" operator="between">
      <formula>0.48</formula>
      <formula>0.5</formula>
    </cfRule>
    <cfRule type="cellIs" dxfId="9561" priority="12200" stopIfTrue="1" operator="between">
      <formula>0</formula>
      <formula>0.255</formula>
    </cfRule>
  </conditionalFormatting>
  <conditionalFormatting sqref="AA271:AC271">
    <cfRule type="cellIs" dxfId="9560" priority="12191" operator="between">
      <formula>0.56251</formula>
      <formula>0.7125</formula>
    </cfRule>
    <cfRule type="cellIs" dxfId="9559" priority="12192" operator="between">
      <formula>0.3751</formula>
      <formula>0.5625</formula>
    </cfRule>
    <cfRule type="cellIs" dxfId="9558" priority="12193" operator="greaterThan">
      <formula>0.751</formula>
    </cfRule>
    <cfRule type="cellIs" dxfId="9557" priority="12194" operator="between">
      <formula>0.71251</formula>
      <formula>0.75</formula>
    </cfRule>
    <cfRule type="cellIs" dxfId="9556" priority="12195" stopIfTrue="1" operator="between">
      <formula>0</formula>
      <formula>0.375</formula>
    </cfRule>
  </conditionalFormatting>
  <conditionalFormatting sqref="U271">
    <cfRule type="cellIs" dxfId="9555" priority="12181" operator="between">
      <formula>0.376</formula>
      <formula>0.475</formula>
    </cfRule>
    <cfRule type="cellIs" dxfId="9554" priority="12182" operator="between">
      <formula>0.2551</formula>
      <formula>0.3751</formula>
    </cfRule>
    <cfRule type="cellIs" dxfId="9553" priority="12183" operator="greaterThan">
      <formula>0.505</formula>
    </cfRule>
    <cfRule type="cellIs" dxfId="9552" priority="12184" operator="between">
      <formula>0.48</formula>
      <formula>0.5</formula>
    </cfRule>
    <cfRule type="cellIs" dxfId="9551" priority="12185" stopIfTrue="1" operator="between">
      <formula>0</formula>
      <formula>0.255</formula>
    </cfRule>
  </conditionalFormatting>
  <conditionalFormatting sqref="S271">
    <cfRule type="cellIs" dxfId="9550" priority="12173" operator="between">
      <formula>0.76</formula>
      <formula>0.95</formula>
    </cfRule>
    <cfRule type="cellIs" dxfId="9549" priority="12174" operator="between">
      <formula>0.51</formula>
      <formula>0.75</formula>
    </cfRule>
    <cfRule type="cellIs" dxfId="9548" priority="12175" operator="greaterThan">
      <formula>1</formula>
    </cfRule>
    <cfRule type="cellIs" dxfId="9547" priority="12176" operator="between">
      <formula>0.95</formula>
      <formula>1</formula>
    </cfRule>
    <cfRule type="cellIs" dxfId="9546" priority="12177" stopIfTrue="1" operator="between">
      <formula>0</formula>
      <formula>0.5</formula>
    </cfRule>
  </conditionalFormatting>
  <conditionalFormatting sqref="V271">
    <cfRule type="cellIs" dxfId="9545" priority="12168" operator="between">
      <formula>0.376</formula>
      <formula>0.475</formula>
    </cfRule>
    <cfRule type="cellIs" dxfId="9544" priority="12169" operator="between">
      <formula>0.2551</formula>
      <formula>0.3751</formula>
    </cfRule>
    <cfRule type="cellIs" dxfId="9543" priority="12170" operator="greaterThan">
      <formula>0.505</formula>
    </cfRule>
    <cfRule type="cellIs" dxfId="9542" priority="12171" operator="between">
      <formula>0.48</formula>
      <formula>0.5</formula>
    </cfRule>
    <cfRule type="cellIs" dxfId="9541" priority="12172" stopIfTrue="1" operator="between">
      <formula>0</formula>
      <formula>0.255</formula>
    </cfRule>
  </conditionalFormatting>
  <conditionalFormatting sqref="AI308">
    <cfRule type="cellIs" dxfId="9540" priority="12163" operator="between">
      <formula>0.76</formula>
      <formula>0.95</formula>
    </cfRule>
    <cfRule type="cellIs" dxfId="9539" priority="12164" operator="between">
      <formula>0.51</formula>
      <formula>0.75</formula>
    </cfRule>
    <cfRule type="cellIs" dxfId="9538" priority="12165" operator="greaterThan">
      <formula>1</formula>
    </cfRule>
    <cfRule type="cellIs" dxfId="9537" priority="12166" operator="between">
      <formula>0.95</formula>
      <formula>1</formula>
    </cfRule>
    <cfRule type="cellIs" dxfId="9536" priority="12167" stopIfTrue="1" operator="between">
      <formula>0</formula>
      <formula>0.5</formula>
    </cfRule>
  </conditionalFormatting>
  <conditionalFormatting sqref="R308">
    <cfRule type="cellIs" dxfId="9535" priority="12153" operator="between">
      <formula>0.76</formula>
      <formula>0.95</formula>
    </cfRule>
    <cfRule type="cellIs" dxfId="9534" priority="12154" operator="between">
      <formula>0.51</formula>
      <formula>0.75</formula>
    </cfRule>
    <cfRule type="cellIs" dxfId="9533" priority="12155" operator="greaterThan">
      <formula>1</formula>
    </cfRule>
    <cfRule type="cellIs" dxfId="9532" priority="12156" operator="between">
      <formula>0.95</formula>
      <formula>1</formula>
    </cfRule>
    <cfRule type="cellIs" dxfId="9531" priority="12157" stopIfTrue="1" operator="between">
      <formula>0</formula>
      <formula>0.5</formula>
    </cfRule>
  </conditionalFormatting>
  <conditionalFormatting sqref="Y308">
    <cfRule type="cellIs" dxfId="9530" priority="12148" operator="between">
      <formula>0.76</formula>
      <formula>0.95</formula>
    </cfRule>
    <cfRule type="cellIs" dxfId="9529" priority="12149" operator="between">
      <formula>0.51</formula>
      <formula>0.75</formula>
    </cfRule>
    <cfRule type="cellIs" dxfId="9528" priority="12150" operator="greaterThan">
      <formula>1</formula>
    </cfRule>
    <cfRule type="cellIs" dxfId="9527" priority="12151" operator="between">
      <formula>0.95</formula>
      <formula>1</formula>
    </cfRule>
    <cfRule type="cellIs" dxfId="9526" priority="12152" stopIfTrue="1" operator="between">
      <formula>0</formula>
      <formula>0.5</formula>
    </cfRule>
  </conditionalFormatting>
  <conditionalFormatting sqref="AF308">
    <cfRule type="cellIs" dxfId="9525" priority="12143" operator="between">
      <formula>0.76</formula>
      <formula>0.95</formula>
    </cfRule>
    <cfRule type="cellIs" dxfId="9524" priority="12144" operator="between">
      <formula>0.51</formula>
      <formula>0.75</formula>
    </cfRule>
    <cfRule type="cellIs" dxfId="9523" priority="12145" operator="greaterThan">
      <formula>1</formula>
    </cfRule>
    <cfRule type="cellIs" dxfId="9522" priority="12146" operator="between">
      <formula>0.95</formula>
      <formula>1</formula>
    </cfRule>
    <cfRule type="cellIs" dxfId="9521" priority="12147" stopIfTrue="1" operator="between">
      <formula>0</formula>
      <formula>0.5</formula>
    </cfRule>
  </conditionalFormatting>
  <conditionalFormatting sqref="AH308">
    <cfRule type="cellIs" dxfId="9520" priority="12138" operator="between">
      <formula>0.76</formula>
      <formula>0.95</formula>
    </cfRule>
    <cfRule type="cellIs" dxfId="9519" priority="12139" operator="between">
      <formula>0.51</formula>
      <formula>0.75</formula>
    </cfRule>
    <cfRule type="cellIs" dxfId="9518" priority="12140" operator="greaterThan">
      <formula>1</formula>
    </cfRule>
    <cfRule type="cellIs" dxfId="9517" priority="12141" operator="between">
      <formula>0.95</formula>
      <formula>1</formula>
    </cfRule>
    <cfRule type="cellIs" dxfId="9516" priority="12142" stopIfTrue="1" operator="between">
      <formula>0</formula>
      <formula>0.5</formula>
    </cfRule>
  </conditionalFormatting>
  <conditionalFormatting sqref="T308">
    <cfRule type="cellIs" dxfId="9515" priority="12123" operator="between">
      <formula>0.3751</formula>
      <formula>0.475</formula>
    </cfRule>
    <cfRule type="cellIs" dxfId="9514" priority="12124" operator="between">
      <formula>0.2551</formula>
      <formula>0.375</formula>
    </cfRule>
    <cfRule type="cellIs" dxfId="9513" priority="12125" operator="greaterThan">
      <formula>0.505</formula>
    </cfRule>
    <cfRule type="cellIs" dxfId="9512" priority="12126" operator="between">
      <formula>0.48</formula>
      <formula>0.5</formula>
    </cfRule>
    <cfRule type="cellIs" dxfId="9511" priority="12127" stopIfTrue="1" operator="between">
      <formula>0</formula>
      <formula>0.255</formula>
    </cfRule>
  </conditionalFormatting>
  <conditionalFormatting sqref="U308:V308">
    <cfRule type="cellIs" dxfId="9510" priority="12118" operator="between">
      <formula>0.376</formula>
      <formula>0.475</formula>
    </cfRule>
    <cfRule type="cellIs" dxfId="9509" priority="12119" operator="between">
      <formula>0.2551</formula>
      <formula>0.3751</formula>
    </cfRule>
    <cfRule type="cellIs" dxfId="9508" priority="12120" operator="greaterThan">
      <formula>0.505</formula>
    </cfRule>
    <cfRule type="cellIs" dxfId="9507" priority="12121" operator="between">
      <formula>0.48</formula>
      <formula>0.5</formula>
    </cfRule>
    <cfRule type="cellIs" dxfId="9506" priority="12122" stopIfTrue="1" operator="between">
      <formula>0</formula>
      <formula>0.255</formula>
    </cfRule>
  </conditionalFormatting>
  <conditionalFormatting sqref="AA308">
    <cfRule type="cellIs" dxfId="9505" priority="12113" operator="between">
      <formula>0.56251</formula>
      <formula>0.7125</formula>
    </cfRule>
    <cfRule type="cellIs" dxfId="9504" priority="12114" operator="between">
      <formula>0.3751</formula>
      <formula>0.5625</formula>
    </cfRule>
    <cfRule type="cellIs" dxfId="9503" priority="12115" operator="greaterThan">
      <formula>0.751</formula>
    </cfRule>
    <cfRule type="cellIs" dxfId="9502" priority="12116" operator="between">
      <formula>0.71251</formula>
      <formula>0.75</formula>
    </cfRule>
    <cfRule type="cellIs" dxfId="9501" priority="12117" stopIfTrue="1" operator="between">
      <formula>0</formula>
      <formula>0.375</formula>
    </cfRule>
  </conditionalFormatting>
  <conditionalFormatting sqref="AC308">
    <cfRule type="cellIs" dxfId="9500" priority="12108" operator="between">
      <formula>0.56251</formula>
      <formula>0.7125</formula>
    </cfRule>
    <cfRule type="cellIs" dxfId="9499" priority="12109" operator="between">
      <formula>0.3751</formula>
      <formula>0.5625</formula>
    </cfRule>
    <cfRule type="cellIs" dxfId="9498" priority="12110" operator="greaterThan">
      <formula>0.751</formula>
    </cfRule>
    <cfRule type="cellIs" dxfId="9497" priority="12111" operator="between">
      <formula>0.71251</formula>
      <formula>0.75</formula>
    </cfRule>
    <cfRule type="cellIs" dxfId="9496" priority="12112" stopIfTrue="1" operator="between">
      <formula>0</formula>
      <formula>0.375</formula>
    </cfRule>
  </conditionalFormatting>
  <conditionalFormatting sqref="AB308">
    <cfRule type="cellIs" dxfId="9495" priority="12103" operator="between">
      <formula>0.56251</formula>
      <formula>0.7125</formula>
    </cfRule>
    <cfRule type="cellIs" dxfId="9494" priority="12104" operator="between">
      <formula>0.3751</formula>
      <formula>0.5625</formula>
    </cfRule>
    <cfRule type="cellIs" dxfId="9493" priority="12105" operator="greaterThan">
      <formula>0.751</formula>
    </cfRule>
    <cfRule type="cellIs" dxfId="9492" priority="12106" operator="between">
      <formula>0.71251</formula>
      <formula>0.75</formula>
    </cfRule>
    <cfRule type="cellIs" dxfId="9491" priority="12107" stopIfTrue="1" operator="between">
      <formula>0</formula>
      <formula>0.375</formula>
    </cfRule>
  </conditionalFormatting>
  <conditionalFormatting sqref="S308">
    <cfRule type="cellIs" dxfId="9490" priority="12081" operator="between">
      <formula>0.76</formula>
      <formula>0.95</formula>
    </cfRule>
    <cfRule type="cellIs" dxfId="9489" priority="12082" operator="between">
      <formula>0.51</formula>
      <formula>0.75</formula>
    </cfRule>
    <cfRule type="cellIs" dxfId="9488" priority="12083" operator="greaterThan">
      <formula>1</formula>
    </cfRule>
    <cfRule type="cellIs" dxfId="9487" priority="12084" operator="between">
      <formula>0.95</formula>
      <formula>1</formula>
    </cfRule>
    <cfRule type="cellIs" dxfId="9486" priority="12085" stopIfTrue="1" operator="between">
      <formula>0</formula>
      <formula>0.5</formula>
    </cfRule>
  </conditionalFormatting>
  <conditionalFormatting sqref="Z308">
    <cfRule type="cellIs" dxfId="9485" priority="12076" operator="between">
      <formula>0.76</formula>
      <formula>0.95</formula>
    </cfRule>
    <cfRule type="cellIs" dxfId="9484" priority="12077" operator="between">
      <formula>0.51</formula>
      <formula>0.75</formula>
    </cfRule>
    <cfRule type="cellIs" dxfId="9483" priority="12078" operator="greaterThan">
      <formula>1</formula>
    </cfRule>
    <cfRule type="cellIs" dxfId="9482" priority="12079" operator="between">
      <formula>0.95</formula>
      <formula>1</formula>
    </cfRule>
    <cfRule type="cellIs" dxfId="9481" priority="12080" stopIfTrue="1" operator="between">
      <formula>0</formula>
      <formula>0.5</formula>
    </cfRule>
  </conditionalFormatting>
  <conditionalFormatting sqref="AG308">
    <cfRule type="cellIs" dxfId="9480" priority="12071" operator="between">
      <formula>0.76</formula>
      <formula>0.95</formula>
    </cfRule>
    <cfRule type="cellIs" dxfId="9479" priority="12072" operator="between">
      <formula>0.51</formula>
      <formula>0.75</formula>
    </cfRule>
    <cfRule type="cellIs" dxfId="9478" priority="12073" operator="greaterThan">
      <formula>1</formula>
    </cfRule>
    <cfRule type="cellIs" dxfId="9477" priority="12074" operator="between">
      <formula>0.95</formula>
      <formula>1</formula>
    </cfRule>
    <cfRule type="cellIs" dxfId="9476" priority="12075" stopIfTrue="1" operator="between">
      <formula>0</formula>
      <formula>0.5</formula>
    </cfRule>
  </conditionalFormatting>
  <conditionalFormatting sqref="AI309:AI311">
    <cfRule type="cellIs" dxfId="9475" priority="12066" operator="between">
      <formula>0.76</formula>
      <formula>0.95</formula>
    </cfRule>
    <cfRule type="cellIs" dxfId="9474" priority="12067" operator="between">
      <formula>0.51</formula>
      <formula>0.75</formula>
    </cfRule>
    <cfRule type="cellIs" dxfId="9473" priority="12068" operator="greaterThan">
      <formula>1</formula>
    </cfRule>
    <cfRule type="cellIs" dxfId="9472" priority="12069" operator="between">
      <formula>0.95</formula>
      <formula>1</formula>
    </cfRule>
    <cfRule type="cellIs" dxfId="9471" priority="12070" stopIfTrue="1" operator="between">
      <formula>0</formula>
      <formula>0.5</formula>
    </cfRule>
  </conditionalFormatting>
  <conditionalFormatting sqref="R309:R311">
    <cfRule type="cellIs" dxfId="9470" priority="12056" operator="between">
      <formula>0.76</formula>
      <formula>0.95</formula>
    </cfRule>
    <cfRule type="cellIs" dxfId="9469" priority="12057" operator="between">
      <formula>0.51</formula>
      <formula>0.75</formula>
    </cfRule>
    <cfRule type="cellIs" dxfId="9468" priority="12058" operator="greaterThan">
      <formula>1</formula>
    </cfRule>
    <cfRule type="cellIs" dxfId="9467" priority="12059" operator="between">
      <formula>0.95</formula>
      <formula>1</formula>
    </cfRule>
    <cfRule type="cellIs" dxfId="9466" priority="12060" stopIfTrue="1" operator="between">
      <formula>0</formula>
      <formula>0.5</formula>
    </cfRule>
  </conditionalFormatting>
  <conditionalFormatting sqref="Y309:Y311">
    <cfRule type="cellIs" dxfId="9465" priority="12051" operator="between">
      <formula>0.76</formula>
      <formula>0.95</formula>
    </cfRule>
    <cfRule type="cellIs" dxfId="9464" priority="12052" operator="between">
      <formula>0.51</formula>
      <formula>0.75</formula>
    </cfRule>
    <cfRule type="cellIs" dxfId="9463" priority="12053" operator="greaterThan">
      <formula>1</formula>
    </cfRule>
    <cfRule type="cellIs" dxfId="9462" priority="12054" operator="between">
      <formula>0.95</formula>
      <formula>1</formula>
    </cfRule>
    <cfRule type="cellIs" dxfId="9461" priority="12055" stopIfTrue="1" operator="between">
      <formula>0</formula>
      <formula>0.5</formula>
    </cfRule>
  </conditionalFormatting>
  <conditionalFormatting sqref="AF309:AF311">
    <cfRule type="cellIs" dxfId="9460" priority="12046" operator="between">
      <formula>0.76</formula>
      <formula>0.95</formula>
    </cfRule>
    <cfRule type="cellIs" dxfId="9459" priority="12047" operator="between">
      <formula>0.51</formula>
      <formula>0.75</formula>
    </cfRule>
    <cfRule type="cellIs" dxfId="9458" priority="12048" operator="greaterThan">
      <formula>1</formula>
    </cfRule>
    <cfRule type="cellIs" dxfId="9457" priority="12049" operator="between">
      <formula>0.95</formula>
      <formula>1</formula>
    </cfRule>
    <cfRule type="cellIs" dxfId="9456" priority="12050" stopIfTrue="1" operator="between">
      <formula>0</formula>
      <formula>0.5</formula>
    </cfRule>
  </conditionalFormatting>
  <conditionalFormatting sqref="AH309:AH311">
    <cfRule type="cellIs" dxfId="9455" priority="12041" operator="between">
      <formula>0.76</formula>
      <formula>0.95</formula>
    </cfRule>
    <cfRule type="cellIs" dxfId="9454" priority="12042" operator="between">
      <formula>0.51</formula>
      <formula>0.75</formula>
    </cfRule>
    <cfRule type="cellIs" dxfId="9453" priority="12043" operator="greaterThan">
      <formula>1</formula>
    </cfRule>
    <cfRule type="cellIs" dxfId="9452" priority="12044" operator="between">
      <formula>0.95</formula>
      <formula>1</formula>
    </cfRule>
    <cfRule type="cellIs" dxfId="9451" priority="12045" stopIfTrue="1" operator="between">
      <formula>0</formula>
      <formula>0.5</formula>
    </cfRule>
  </conditionalFormatting>
  <conditionalFormatting sqref="T309:T311">
    <cfRule type="cellIs" dxfId="9450" priority="12026" operator="between">
      <formula>0.3751</formula>
      <formula>0.475</formula>
    </cfRule>
    <cfRule type="cellIs" dxfId="9449" priority="12027" operator="between">
      <formula>0.2551</formula>
      <formula>0.375</formula>
    </cfRule>
    <cfRule type="cellIs" dxfId="9448" priority="12028" operator="greaterThan">
      <formula>0.505</formula>
    </cfRule>
    <cfRule type="cellIs" dxfId="9447" priority="12029" operator="between">
      <formula>0.48</formula>
      <formula>0.5</formula>
    </cfRule>
    <cfRule type="cellIs" dxfId="9446" priority="12030" stopIfTrue="1" operator="between">
      <formula>0</formula>
      <formula>0.255</formula>
    </cfRule>
  </conditionalFormatting>
  <conditionalFormatting sqref="U309:V311">
    <cfRule type="cellIs" dxfId="9445" priority="12021" operator="between">
      <formula>0.376</formula>
      <formula>0.475</formula>
    </cfRule>
    <cfRule type="cellIs" dxfId="9444" priority="12022" operator="between">
      <formula>0.2551</formula>
      <formula>0.3751</formula>
    </cfRule>
    <cfRule type="cellIs" dxfId="9443" priority="12023" operator="greaterThan">
      <formula>0.505</formula>
    </cfRule>
    <cfRule type="cellIs" dxfId="9442" priority="12024" operator="between">
      <formula>0.48</formula>
      <formula>0.5</formula>
    </cfRule>
    <cfRule type="cellIs" dxfId="9441" priority="12025" stopIfTrue="1" operator="between">
      <formula>0</formula>
      <formula>0.255</formula>
    </cfRule>
  </conditionalFormatting>
  <conditionalFormatting sqref="AA309:AA311">
    <cfRule type="cellIs" dxfId="9440" priority="12016" operator="between">
      <formula>0.56251</formula>
      <formula>0.7125</formula>
    </cfRule>
    <cfRule type="cellIs" dxfId="9439" priority="12017" operator="between">
      <formula>0.3751</formula>
      <formula>0.5625</formula>
    </cfRule>
    <cfRule type="cellIs" dxfId="9438" priority="12018" operator="greaterThan">
      <formula>0.751</formula>
    </cfRule>
    <cfRule type="cellIs" dxfId="9437" priority="12019" operator="between">
      <formula>0.71251</formula>
      <formula>0.75</formula>
    </cfRule>
    <cfRule type="cellIs" dxfId="9436" priority="12020" stopIfTrue="1" operator="between">
      <formula>0</formula>
      <formula>0.375</formula>
    </cfRule>
  </conditionalFormatting>
  <conditionalFormatting sqref="AC309:AC311">
    <cfRule type="cellIs" dxfId="9435" priority="12011" operator="between">
      <formula>0.56251</formula>
      <formula>0.7125</formula>
    </cfRule>
    <cfRule type="cellIs" dxfId="9434" priority="12012" operator="between">
      <formula>0.3751</formula>
      <formula>0.5625</formula>
    </cfRule>
    <cfRule type="cellIs" dxfId="9433" priority="12013" operator="greaterThan">
      <formula>0.751</formula>
    </cfRule>
    <cfRule type="cellIs" dxfId="9432" priority="12014" operator="between">
      <formula>0.71251</formula>
      <formula>0.75</formula>
    </cfRule>
    <cfRule type="cellIs" dxfId="9431" priority="12015" stopIfTrue="1" operator="between">
      <formula>0</formula>
      <formula>0.375</formula>
    </cfRule>
  </conditionalFormatting>
  <conditionalFormatting sqref="AB309:AB311">
    <cfRule type="cellIs" dxfId="9430" priority="12006" operator="between">
      <formula>0.56251</formula>
      <formula>0.7125</formula>
    </cfRule>
    <cfRule type="cellIs" dxfId="9429" priority="12007" operator="between">
      <formula>0.3751</formula>
      <formula>0.5625</formula>
    </cfRule>
    <cfRule type="cellIs" dxfId="9428" priority="12008" operator="greaterThan">
      <formula>0.751</formula>
    </cfRule>
    <cfRule type="cellIs" dxfId="9427" priority="12009" operator="between">
      <formula>0.71251</formula>
      <formula>0.75</formula>
    </cfRule>
    <cfRule type="cellIs" dxfId="9426" priority="12010" stopIfTrue="1" operator="between">
      <formula>0</formula>
      <formula>0.375</formula>
    </cfRule>
  </conditionalFormatting>
  <conditionalFormatting sqref="S310 S321 S317:S319">
    <cfRule type="cellIs" dxfId="9425" priority="11984" operator="between">
      <formula>0.76</formula>
      <formula>0.95</formula>
    </cfRule>
    <cfRule type="cellIs" dxfId="9424" priority="11985" operator="between">
      <formula>0.51</formula>
      <formula>0.75</formula>
    </cfRule>
    <cfRule type="cellIs" dxfId="9423" priority="11986" operator="greaterThan">
      <formula>1</formula>
    </cfRule>
    <cfRule type="cellIs" dxfId="9422" priority="11987" operator="between">
      <formula>0.95</formula>
      <formula>1</formula>
    </cfRule>
    <cfRule type="cellIs" dxfId="9421" priority="11988" stopIfTrue="1" operator="between">
      <formula>0</formula>
      <formula>0.5</formula>
    </cfRule>
  </conditionalFormatting>
  <conditionalFormatting sqref="Z309 Z311 Z318 Z320">
    <cfRule type="cellIs" dxfId="9420" priority="11979" operator="between">
      <formula>0.76</formula>
      <formula>0.95</formula>
    </cfRule>
    <cfRule type="cellIs" dxfId="9419" priority="11980" operator="between">
      <formula>0.51</formula>
      <formula>0.75</formula>
    </cfRule>
    <cfRule type="cellIs" dxfId="9418" priority="11981" operator="greaterThan">
      <formula>1</formula>
    </cfRule>
    <cfRule type="cellIs" dxfId="9417" priority="11982" operator="between">
      <formula>0.95</formula>
      <formula>1</formula>
    </cfRule>
    <cfRule type="cellIs" dxfId="9416" priority="11983" stopIfTrue="1" operator="between">
      <formula>0</formula>
      <formula>0.5</formula>
    </cfRule>
  </conditionalFormatting>
  <conditionalFormatting sqref="AG309:AG311">
    <cfRule type="cellIs" dxfId="9415" priority="11974" operator="between">
      <formula>0.76</formula>
      <formula>0.95</formula>
    </cfRule>
    <cfRule type="cellIs" dxfId="9414" priority="11975" operator="between">
      <formula>0.51</formula>
      <formula>0.75</formula>
    </cfRule>
    <cfRule type="cellIs" dxfId="9413" priority="11976" operator="greaterThan">
      <formula>1</formula>
    </cfRule>
    <cfRule type="cellIs" dxfId="9412" priority="11977" operator="between">
      <formula>0.95</formula>
      <formula>1</formula>
    </cfRule>
    <cfRule type="cellIs" dxfId="9411" priority="11978" stopIfTrue="1" operator="between">
      <formula>0</formula>
      <formula>0.5</formula>
    </cfRule>
  </conditionalFormatting>
  <conditionalFormatting sqref="AI322:AI326">
    <cfRule type="cellIs" dxfId="9410" priority="11969" operator="between">
      <formula>0.76</formula>
      <formula>0.95</formula>
    </cfRule>
    <cfRule type="cellIs" dxfId="9409" priority="11970" operator="between">
      <formula>0.51</formula>
      <formula>0.75</formula>
    </cfRule>
    <cfRule type="cellIs" dxfId="9408" priority="11971" operator="greaterThan">
      <formula>1</formula>
    </cfRule>
    <cfRule type="cellIs" dxfId="9407" priority="11972" operator="between">
      <formula>0.95</formula>
      <formula>1</formula>
    </cfRule>
    <cfRule type="cellIs" dxfId="9406" priority="11973" stopIfTrue="1" operator="between">
      <formula>0</formula>
      <formula>0.5</formula>
    </cfRule>
  </conditionalFormatting>
  <conditionalFormatting sqref="R322:R326">
    <cfRule type="cellIs" dxfId="9405" priority="11959" operator="between">
      <formula>0.76</formula>
      <formula>0.95</formula>
    </cfRule>
    <cfRule type="cellIs" dxfId="9404" priority="11960" operator="between">
      <formula>0.51</formula>
      <formula>0.75</formula>
    </cfRule>
    <cfRule type="cellIs" dxfId="9403" priority="11961" operator="greaterThan">
      <formula>1</formula>
    </cfRule>
    <cfRule type="cellIs" dxfId="9402" priority="11962" operator="between">
      <formula>0.95</formula>
      <formula>1</formula>
    </cfRule>
    <cfRule type="cellIs" dxfId="9401" priority="11963" stopIfTrue="1" operator="between">
      <formula>0</formula>
      <formula>0.5</formula>
    </cfRule>
  </conditionalFormatting>
  <conditionalFormatting sqref="Y322:Y326">
    <cfRule type="cellIs" dxfId="9400" priority="11954" operator="between">
      <formula>0.76</formula>
      <formula>0.95</formula>
    </cfRule>
    <cfRule type="cellIs" dxfId="9399" priority="11955" operator="between">
      <formula>0.51</formula>
      <formula>0.75</formula>
    </cfRule>
    <cfRule type="cellIs" dxfId="9398" priority="11956" operator="greaterThan">
      <formula>1</formula>
    </cfRule>
    <cfRule type="cellIs" dxfId="9397" priority="11957" operator="between">
      <formula>0.95</formula>
      <formula>1</formula>
    </cfRule>
    <cfRule type="cellIs" dxfId="9396" priority="11958" stopIfTrue="1" operator="between">
      <formula>0</formula>
      <formula>0.5</formula>
    </cfRule>
  </conditionalFormatting>
  <conditionalFormatting sqref="AF322:AF326">
    <cfRule type="cellIs" dxfId="9395" priority="11949" operator="between">
      <formula>0.76</formula>
      <formula>0.95</formula>
    </cfRule>
    <cfRule type="cellIs" dxfId="9394" priority="11950" operator="between">
      <formula>0.51</formula>
      <formula>0.75</formula>
    </cfRule>
    <cfRule type="cellIs" dxfId="9393" priority="11951" operator="greaterThan">
      <formula>1</formula>
    </cfRule>
    <cfRule type="cellIs" dxfId="9392" priority="11952" operator="between">
      <formula>0.95</formula>
      <formula>1</formula>
    </cfRule>
    <cfRule type="cellIs" dxfId="9391" priority="11953" stopIfTrue="1" operator="between">
      <formula>0</formula>
      <formula>0.5</formula>
    </cfRule>
  </conditionalFormatting>
  <conditionalFormatting sqref="AH322:AH326">
    <cfRule type="cellIs" dxfId="9390" priority="11944" operator="between">
      <formula>0.76</formula>
      <formula>0.95</formula>
    </cfRule>
    <cfRule type="cellIs" dxfId="9389" priority="11945" operator="between">
      <formula>0.51</formula>
      <formula>0.75</formula>
    </cfRule>
    <cfRule type="cellIs" dxfId="9388" priority="11946" operator="greaterThan">
      <formula>1</formula>
    </cfRule>
    <cfRule type="cellIs" dxfId="9387" priority="11947" operator="between">
      <formula>0.95</formula>
      <formula>1</formula>
    </cfRule>
    <cfRule type="cellIs" dxfId="9386" priority="11948" stopIfTrue="1" operator="between">
      <formula>0</formula>
      <formula>0.5</formula>
    </cfRule>
  </conditionalFormatting>
  <conditionalFormatting sqref="T322:T326">
    <cfRule type="cellIs" dxfId="9385" priority="11929" operator="between">
      <formula>0.3751</formula>
      <formula>0.475</formula>
    </cfRule>
    <cfRule type="cellIs" dxfId="9384" priority="11930" operator="between">
      <formula>0.2551</formula>
      <formula>0.375</formula>
    </cfRule>
    <cfRule type="cellIs" dxfId="9383" priority="11931" operator="greaterThan">
      <formula>0.505</formula>
    </cfRule>
    <cfRule type="cellIs" dxfId="9382" priority="11932" operator="between">
      <formula>0.48</formula>
      <formula>0.5</formula>
    </cfRule>
    <cfRule type="cellIs" dxfId="9381" priority="11933" stopIfTrue="1" operator="between">
      <formula>0</formula>
      <formula>0.255</formula>
    </cfRule>
  </conditionalFormatting>
  <conditionalFormatting sqref="U322:V326">
    <cfRule type="cellIs" dxfId="9380" priority="11924" operator="between">
      <formula>0.376</formula>
      <formula>0.475</formula>
    </cfRule>
    <cfRule type="cellIs" dxfId="9379" priority="11925" operator="between">
      <formula>0.2551</formula>
      <formula>0.3751</formula>
    </cfRule>
    <cfRule type="cellIs" dxfId="9378" priority="11926" operator="greaterThan">
      <formula>0.505</formula>
    </cfRule>
    <cfRule type="cellIs" dxfId="9377" priority="11927" operator="between">
      <formula>0.48</formula>
      <formula>0.5</formula>
    </cfRule>
    <cfRule type="cellIs" dxfId="9376" priority="11928" stopIfTrue="1" operator="between">
      <formula>0</formula>
      <formula>0.255</formula>
    </cfRule>
  </conditionalFormatting>
  <conditionalFormatting sqref="AA322:AA326">
    <cfRule type="cellIs" dxfId="9375" priority="11919" operator="between">
      <formula>0.56251</formula>
      <formula>0.7125</formula>
    </cfRule>
    <cfRule type="cellIs" dxfId="9374" priority="11920" operator="between">
      <formula>0.3751</formula>
      <formula>0.5625</formula>
    </cfRule>
    <cfRule type="cellIs" dxfId="9373" priority="11921" operator="greaterThan">
      <formula>0.751</formula>
    </cfRule>
    <cfRule type="cellIs" dxfId="9372" priority="11922" operator="between">
      <formula>0.71251</formula>
      <formula>0.75</formula>
    </cfRule>
    <cfRule type="cellIs" dxfId="9371" priority="11923" stopIfTrue="1" operator="between">
      <formula>0</formula>
      <formula>0.375</formula>
    </cfRule>
  </conditionalFormatting>
  <conditionalFormatting sqref="AC322:AC326">
    <cfRule type="cellIs" dxfId="9370" priority="11914" operator="between">
      <formula>0.56251</formula>
      <formula>0.7125</formula>
    </cfRule>
    <cfRule type="cellIs" dxfId="9369" priority="11915" operator="between">
      <formula>0.3751</formula>
      <formula>0.5625</formula>
    </cfRule>
    <cfRule type="cellIs" dxfId="9368" priority="11916" operator="greaterThan">
      <formula>0.751</formula>
    </cfRule>
    <cfRule type="cellIs" dxfId="9367" priority="11917" operator="between">
      <formula>0.71251</formula>
      <formula>0.75</formula>
    </cfRule>
    <cfRule type="cellIs" dxfId="9366" priority="11918" stopIfTrue="1" operator="between">
      <formula>0</formula>
      <formula>0.375</formula>
    </cfRule>
  </conditionalFormatting>
  <conditionalFormatting sqref="AB322:AB326">
    <cfRule type="cellIs" dxfId="9365" priority="11909" operator="between">
      <formula>0.56251</formula>
      <formula>0.7125</formula>
    </cfRule>
    <cfRule type="cellIs" dxfId="9364" priority="11910" operator="between">
      <formula>0.3751</formula>
      <formula>0.5625</formula>
    </cfRule>
    <cfRule type="cellIs" dxfId="9363" priority="11911" operator="greaterThan">
      <formula>0.751</formula>
    </cfRule>
    <cfRule type="cellIs" dxfId="9362" priority="11912" operator="between">
      <formula>0.71251</formula>
      <formula>0.75</formula>
    </cfRule>
    <cfRule type="cellIs" dxfId="9361" priority="11913" stopIfTrue="1" operator="between">
      <formula>0</formula>
      <formula>0.375</formula>
    </cfRule>
  </conditionalFormatting>
  <conditionalFormatting sqref="S322:S324 S326">
    <cfRule type="cellIs" dxfId="9360" priority="11887" operator="between">
      <formula>0.76</formula>
      <formula>0.95</formula>
    </cfRule>
    <cfRule type="cellIs" dxfId="9359" priority="11888" operator="between">
      <formula>0.51</formula>
      <formula>0.75</formula>
    </cfRule>
    <cfRule type="cellIs" dxfId="9358" priority="11889" operator="greaterThan">
      <formula>1</formula>
    </cfRule>
    <cfRule type="cellIs" dxfId="9357" priority="11890" operator="between">
      <formula>0.95</formula>
      <formula>1</formula>
    </cfRule>
    <cfRule type="cellIs" dxfId="9356" priority="11891" stopIfTrue="1" operator="between">
      <formula>0</formula>
      <formula>0.5</formula>
    </cfRule>
  </conditionalFormatting>
  <conditionalFormatting sqref="Z322:Z323">
    <cfRule type="cellIs" dxfId="9355" priority="11882" operator="between">
      <formula>0.76</formula>
      <formula>0.95</formula>
    </cfRule>
    <cfRule type="cellIs" dxfId="9354" priority="11883" operator="between">
      <formula>0.51</formula>
      <formula>0.75</formula>
    </cfRule>
    <cfRule type="cellIs" dxfId="9353" priority="11884" operator="greaterThan">
      <formula>1</formula>
    </cfRule>
    <cfRule type="cellIs" dxfId="9352" priority="11885" operator="between">
      <formula>0.95</formula>
      <formula>1</formula>
    </cfRule>
    <cfRule type="cellIs" dxfId="9351" priority="11886" stopIfTrue="1" operator="between">
      <formula>0</formula>
      <formula>0.5</formula>
    </cfRule>
  </conditionalFormatting>
  <conditionalFormatting sqref="AG322:AG326">
    <cfRule type="cellIs" dxfId="9350" priority="11877" operator="between">
      <formula>0.76</formula>
      <formula>0.95</formula>
    </cfRule>
    <cfRule type="cellIs" dxfId="9349" priority="11878" operator="between">
      <formula>0.51</formula>
      <formula>0.75</formula>
    </cfRule>
    <cfRule type="cellIs" dxfId="9348" priority="11879" operator="greaterThan">
      <formula>1</formula>
    </cfRule>
    <cfRule type="cellIs" dxfId="9347" priority="11880" operator="between">
      <formula>0.95</formula>
      <formula>1</formula>
    </cfRule>
    <cfRule type="cellIs" dxfId="9346" priority="11881" stopIfTrue="1" operator="between">
      <formula>0</formula>
      <formula>0.5</formula>
    </cfRule>
  </conditionalFormatting>
  <conditionalFormatting sqref="S309">
    <cfRule type="cellIs" dxfId="9345" priority="11862" operator="between">
      <formula>0.76</formula>
      <formula>0.95</formula>
    </cfRule>
    <cfRule type="cellIs" dxfId="9344" priority="11863" operator="between">
      <formula>0.51</formula>
      <formula>0.75</formula>
    </cfRule>
    <cfRule type="cellIs" dxfId="9343" priority="11864" operator="greaterThan">
      <formula>1</formula>
    </cfRule>
    <cfRule type="cellIs" dxfId="9342" priority="11865" operator="between">
      <formula>0.95</formula>
      <formula>1</formula>
    </cfRule>
    <cfRule type="cellIs" dxfId="9341" priority="11866" stopIfTrue="1" operator="between">
      <formula>0</formula>
      <formula>0.5</formula>
    </cfRule>
  </conditionalFormatting>
  <conditionalFormatting sqref="S311">
    <cfRule type="cellIs" dxfId="9340" priority="11857" operator="between">
      <formula>0.76</formula>
      <formula>0.95</formula>
    </cfRule>
    <cfRule type="cellIs" dxfId="9339" priority="11858" operator="between">
      <formula>0.51</formula>
      <formula>0.75</formula>
    </cfRule>
    <cfRule type="cellIs" dxfId="9338" priority="11859" operator="greaterThan">
      <formula>1</formula>
    </cfRule>
    <cfRule type="cellIs" dxfId="9337" priority="11860" operator="between">
      <formula>0.95</formula>
      <formula>1</formula>
    </cfRule>
    <cfRule type="cellIs" dxfId="9336" priority="11861" stopIfTrue="1" operator="between">
      <formula>0</formula>
      <formula>0.5</formula>
    </cfRule>
  </conditionalFormatting>
  <conditionalFormatting sqref="S320">
    <cfRule type="cellIs" dxfId="9335" priority="11847" operator="between">
      <formula>0.76</formula>
      <formula>0.95</formula>
    </cfRule>
    <cfRule type="cellIs" dxfId="9334" priority="11848" operator="between">
      <formula>0.51</formula>
      <formula>0.75</formula>
    </cfRule>
    <cfRule type="cellIs" dxfId="9333" priority="11849" operator="greaterThan">
      <formula>1</formula>
    </cfRule>
    <cfRule type="cellIs" dxfId="9332" priority="11850" operator="between">
      <formula>0.95</formula>
      <formula>1</formula>
    </cfRule>
    <cfRule type="cellIs" dxfId="9331" priority="11851" stopIfTrue="1" operator="between">
      <formula>0</formula>
      <formula>0.5</formula>
    </cfRule>
  </conditionalFormatting>
  <conditionalFormatting sqref="S325">
    <cfRule type="cellIs" dxfId="9330" priority="11842" operator="between">
      <formula>0.76</formula>
      <formula>0.95</formula>
    </cfRule>
    <cfRule type="cellIs" dxfId="9329" priority="11843" operator="between">
      <formula>0.51</formula>
      <formula>0.75</formula>
    </cfRule>
    <cfRule type="cellIs" dxfId="9328" priority="11844" operator="greaterThan">
      <formula>1</formula>
    </cfRule>
    <cfRule type="cellIs" dxfId="9327" priority="11845" operator="between">
      <formula>0.95</formula>
      <formula>1</formula>
    </cfRule>
    <cfRule type="cellIs" dxfId="9326" priority="11846" stopIfTrue="1" operator="between">
      <formula>0</formula>
      <formula>0.5</formula>
    </cfRule>
  </conditionalFormatting>
  <conditionalFormatting sqref="Z310">
    <cfRule type="cellIs" dxfId="9325" priority="11837" operator="between">
      <formula>0.76</formula>
      <formula>0.95</formula>
    </cfRule>
    <cfRule type="cellIs" dxfId="9324" priority="11838" operator="between">
      <formula>0.51</formula>
      <formula>0.75</formula>
    </cfRule>
    <cfRule type="cellIs" dxfId="9323" priority="11839" operator="greaterThan">
      <formula>1</formula>
    </cfRule>
    <cfRule type="cellIs" dxfId="9322" priority="11840" operator="between">
      <formula>0.95</formula>
      <formula>1</formula>
    </cfRule>
    <cfRule type="cellIs" dxfId="9321" priority="11841" stopIfTrue="1" operator="between">
      <formula>0</formula>
      <formula>0.5</formula>
    </cfRule>
  </conditionalFormatting>
  <conditionalFormatting sqref="Z317">
    <cfRule type="cellIs" dxfId="9320" priority="11827" operator="between">
      <formula>0.76</formula>
      <formula>0.95</formula>
    </cfRule>
    <cfRule type="cellIs" dxfId="9319" priority="11828" operator="between">
      <formula>0.51</formula>
      <formula>0.75</formula>
    </cfRule>
    <cfRule type="cellIs" dxfId="9318" priority="11829" operator="greaterThan">
      <formula>1</formula>
    </cfRule>
    <cfRule type="cellIs" dxfId="9317" priority="11830" operator="between">
      <formula>0.95</formula>
      <formula>1</formula>
    </cfRule>
    <cfRule type="cellIs" dxfId="9316" priority="11831" stopIfTrue="1" operator="between">
      <formula>0</formula>
      <formula>0.5</formula>
    </cfRule>
  </conditionalFormatting>
  <conditionalFormatting sqref="Z319">
    <cfRule type="cellIs" dxfId="9315" priority="11822" operator="between">
      <formula>0.76</formula>
      <formula>0.95</formula>
    </cfRule>
    <cfRule type="cellIs" dxfId="9314" priority="11823" operator="between">
      <formula>0.51</formula>
      <formula>0.75</formula>
    </cfRule>
    <cfRule type="cellIs" dxfId="9313" priority="11824" operator="greaterThan">
      <formula>1</formula>
    </cfRule>
    <cfRule type="cellIs" dxfId="9312" priority="11825" operator="between">
      <formula>0.95</formula>
      <formula>1</formula>
    </cfRule>
    <cfRule type="cellIs" dxfId="9311" priority="11826" stopIfTrue="1" operator="between">
      <formula>0</formula>
      <formula>0.5</formula>
    </cfRule>
  </conditionalFormatting>
  <conditionalFormatting sqref="Z321">
    <cfRule type="cellIs" dxfId="9310" priority="11817" operator="between">
      <formula>0.76</formula>
      <formula>0.95</formula>
    </cfRule>
    <cfRule type="cellIs" dxfId="9309" priority="11818" operator="between">
      <formula>0.51</formula>
      <formula>0.75</formula>
    </cfRule>
    <cfRule type="cellIs" dxfId="9308" priority="11819" operator="greaterThan">
      <formula>1</formula>
    </cfRule>
    <cfRule type="cellIs" dxfId="9307" priority="11820" operator="between">
      <formula>0.95</formula>
      <formula>1</formula>
    </cfRule>
    <cfRule type="cellIs" dxfId="9306" priority="11821" stopIfTrue="1" operator="between">
      <formula>0</formula>
      <formula>0.5</formula>
    </cfRule>
  </conditionalFormatting>
  <conditionalFormatting sqref="Z324">
    <cfRule type="cellIs" dxfId="9305" priority="11812" operator="between">
      <formula>0.76</formula>
      <formula>0.95</formula>
    </cfRule>
    <cfRule type="cellIs" dxfId="9304" priority="11813" operator="between">
      <formula>0.51</formula>
      <formula>0.75</formula>
    </cfRule>
    <cfRule type="cellIs" dxfId="9303" priority="11814" operator="greaterThan">
      <formula>1</formula>
    </cfRule>
    <cfRule type="cellIs" dxfId="9302" priority="11815" operator="between">
      <formula>0.95</formula>
      <formula>1</formula>
    </cfRule>
    <cfRule type="cellIs" dxfId="9301" priority="11816" stopIfTrue="1" operator="between">
      <formula>0</formula>
      <formula>0.5</formula>
    </cfRule>
  </conditionalFormatting>
  <conditionalFormatting sqref="Z325">
    <cfRule type="cellIs" dxfId="9300" priority="11807" operator="between">
      <formula>0.76</formula>
      <formula>0.95</formula>
    </cfRule>
    <cfRule type="cellIs" dxfId="9299" priority="11808" operator="between">
      <formula>0.51</formula>
      <formula>0.75</formula>
    </cfRule>
    <cfRule type="cellIs" dxfId="9298" priority="11809" operator="greaterThan">
      <formula>1</formula>
    </cfRule>
    <cfRule type="cellIs" dxfId="9297" priority="11810" operator="between">
      <formula>0.95</formula>
      <formula>1</formula>
    </cfRule>
    <cfRule type="cellIs" dxfId="9296" priority="11811" stopIfTrue="1" operator="between">
      <formula>0</formula>
      <formula>0.5</formula>
    </cfRule>
  </conditionalFormatting>
  <conditionalFormatting sqref="Z326">
    <cfRule type="cellIs" dxfId="9295" priority="11802" operator="between">
      <formula>0.76</formula>
      <formula>0.95</formula>
    </cfRule>
    <cfRule type="cellIs" dxfId="9294" priority="11803" operator="between">
      <formula>0.51</formula>
      <formula>0.75</formula>
    </cfRule>
    <cfRule type="cellIs" dxfId="9293" priority="11804" operator="greaterThan">
      <formula>1</formula>
    </cfRule>
    <cfRule type="cellIs" dxfId="9292" priority="11805" operator="between">
      <formula>0.95</formula>
      <formula>1</formula>
    </cfRule>
    <cfRule type="cellIs" dxfId="9291" priority="11806" stopIfTrue="1" operator="between">
      <formula>0</formula>
      <formula>0.5</formula>
    </cfRule>
  </conditionalFormatting>
  <conditionalFormatting sqref="AI348">
    <cfRule type="cellIs" dxfId="9290" priority="11797" operator="between">
      <formula>0.76</formula>
      <formula>0.95</formula>
    </cfRule>
    <cfRule type="cellIs" dxfId="9289" priority="11798" operator="between">
      <formula>0.51</formula>
      <formula>0.75</formula>
    </cfRule>
    <cfRule type="cellIs" dxfId="9288" priority="11799" operator="greaterThan">
      <formula>1</formula>
    </cfRule>
    <cfRule type="cellIs" dxfId="9287" priority="11800" operator="between">
      <formula>0.95</formula>
      <formula>1</formula>
    </cfRule>
    <cfRule type="cellIs" dxfId="9286" priority="11801" stopIfTrue="1" operator="between">
      <formula>0</formula>
      <formula>0.5</formula>
    </cfRule>
  </conditionalFormatting>
  <conditionalFormatting sqref="R348">
    <cfRule type="cellIs" dxfId="9285" priority="11787" operator="between">
      <formula>0.76</formula>
      <formula>0.95</formula>
    </cfRule>
    <cfRule type="cellIs" dxfId="9284" priority="11788" operator="between">
      <formula>0.51</formula>
      <formula>0.75</formula>
    </cfRule>
    <cfRule type="cellIs" dxfId="9283" priority="11789" operator="greaterThan">
      <formula>1</formula>
    </cfRule>
    <cfRule type="cellIs" dxfId="9282" priority="11790" operator="between">
      <formula>0.95</formula>
      <formula>1</formula>
    </cfRule>
    <cfRule type="cellIs" dxfId="9281" priority="11791" stopIfTrue="1" operator="between">
      <formula>0</formula>
      <formula>0.5</formula>
    </cfRule>
  </conditionalFormatting>
  <conditionalFormatting sqref="Y348">
    <cfRule type="cellIs" dxfId="9280" priority="11782" operator="between">
      <formula>0.76</formula>
      <formula>0.95</formula>
    </cfRule>
    <cfRule type="cellIs" dxfId="9279" priority="11783" operator="between">
      <formula>0.51</formula>
      <formula>0.75</formula>
    </cfRule>
    <cfRule type="cellIs" dxfId="9278" priority="11784" operator="greaterThan">
      <formula>1</formula>
    </cfRule>
    <cfRule type="cellIs" dxfId="9277" priority="11785" operator="between">
      <formula>0.95</formula>
      <formula>1</formula>
    </cfRule>
    <cfRule type="cellIs" dxfId="9276" priority="11786" stopIfTrue="1" operator="between">
      <formula>0</formula>
      <formula>0.5</formula>
    </cfRule>
  </conditionalFormatting>
  <conditionalFormatting sqref="AF348">
    <cfRule type="cellIs" dxfId="9275" priority="11777" operator="between">
      <formula>0.76</formula>
      <formula>0.95</formula>
    </cfRule>
    <cfRule type="cellIs" dxfId="9274" priority="11778" operator="between">
      <formula>0.51</formula>
      <formula>0.75</formula>
    </cfRule>
    <cfRule type="cellIs" dxfId="9273" priority="11779" operator="greaterThan">
      <formula>1</formula>
    </cfRule>
    <cfRule type="cellIs" dxfId="9272" priority="11780" operator="between">
      <formula>0.95</formula>
      <formula>1</formula>
    </cfRule>
    <cfRule type="cellIs" dxfId="9271" priority="11781" stopIfTrue="1" operator="between">
      <formula>0</formula>
      <formula>0.5</formula>
    </cfRule>
  </conditionalFormatting>
  <conditionalFormatting sqref="AH348">
    <cfRule type="cellIs" dxfId="9270" priority="11772" operator="between">
      <formula>0.76</formula>
      <formula>0.95</formula>
    </cfRule>
    <cfRule type="cellIs" dxfId="9269" priority="11773" operator="between">
      <formula>0.51</formula>
      <formula>0.75</formula>
    </cfRule>
    <cfRule type="cellIs" dxfId="9268" priority="11774" operator="greaterThan">
      <formula>1</formula>
    </cfRule>
    <cfRule type="cellIs" dxfId="9267" priority="11775" operator="between">
      <formula>0.95</formula>
      <formula>1</formula>
    </cfRule>
    <cfRule type="cellIs" dxfId="9266" priority="11776" stopIfTrue="1" operator="between">
      <formula>0</formula>
      <formula>0.5</formula>
    </cfRule>
  </conditionalFormatting>
  <conditionalFormatting sqref="T348">
    <cfRule type="cellIs" dxfId="9265" priority="11757" operator="between">
      <formula>0.3751</formula>
      <formula>0.475</formula>
    </cfRule>
    <cfRule type="cellIs" dxfId="9264" priority="11758" operator="between">
      <formula>0.2551</formula>
      <formula>0.375</formula>
    </cfRule>
    <cfRule type="cellIs" dxfId="9263" priority="11759" operator="greaterThan">
      <formula>0.505</formula>
    </cfRule>
    <cfRule type="cellIs" dxfId="9262" priority="11760" operator="between">
      <formula>0.48</formula>
      <formula>0.5</formula>
    </cfRule>
    <cfRule type="cellIs" dxfId="9261" priority="11761" stopIfTrue="1" operator="between">
      <formula>0</formula>
      <formula>0.255</formula>
    </cfRule>
  </conditionalFormatting>
  <conditionalFormatting sqref="U327 U346:V346 U348">
    <cfRule type="cellIs" dxfId="9260" priority="11752" operator="between">
      <formula>0.376</formula>
      <formula>0.475</formula>
    </cfRule>
    <cfRule type="cellIs" dxfId="9259" priority="11753" operator="between">
      <formula>0.2551</formula>
      <formula>0.3751</formula>
    </cfRule>
    <cfRule type="cellIs" dxfId="9258" priority="11754" operator="greaterThan">
      <formula>0.505</formula>
    </cfRule>
    <cfRule type="cellIs" dxfId="9257" priority="11755" operator="between">
      <formula>0.48</formula>
      <formula>0.5</formula>
    </cfRule>
    <cfRule type="cellIs" dxfId="9256" priority="11756" stopIfTrue="1" operator="between">
      <formula>0</formula>
      <formula>0.255</formula>
    </cfRule>
  </conditionalFormatting>
  <conditionalFormatting sqref="AA348">
    <cfRule type="cellIs" dxfId="9255" priority="11747" operator="between">
      <formula>0.56251</formula>
      <formula>0.7125</formula>
    </cfRule>
    <cfRule type="cellIs" dxfId="9254" priority="11748" operator="between">
      <formula>0.3751</formula>
      <formula>0.5625</formula>
    </cfRule>
    <cfRule type="cellIs" dxfId="9253" priority="11749" operator="greaterThan">
      <formula>0.751</formula>
    </cfRule>
    <cfRule type="cellIs" dxfId="9252" priority="11750" operator="between">
      <formula>0.71251</formula>
      <formula>0.75</formula>
    </cfRule>
    <cfRule type="cellIs" dxfId="9251" priority="11751" stopIfTrue="1" operator="between">
      <formula>0</formula>
      <formula>0.375</formula>
    </cfRule>
  </conditionalFormatting>
  <conditionalFormatting sqref="AC348">
    <cfRule type="cellIs" dxfId="9250" priority="11742" operator="between">
      <formula>0.56251</formula>
      <formula>0.7125</formula>
    </cfRule>
    <cfRule type="cellIs" dxfId="9249" priority="11743" operator="between">
      <formula>0.3751</formula>
      <formula>0.5625</formula>
    </cfRule>
    <cfRule type="cellIs" dxfId="9248" priority="11744" operator="greaterThan">
      <formula>0.751</formula>
    </cfRule>
    <cfRule type="cellIs" dxfId="9247" priority="11745" operator="between">
      <formula>0.71251</formula>
      <formula>0.75</formula>
    </cfRule>
    <cfRule type="cellIs" dxfId="9246" priority="11746" stopIfTrue="1" operator="between">
      <formula>0</formula>
      <formula>0.375</formula>
    </cfRule>
  </conditionalFormatting>
  <conditionalFormatting sqref="AB348">
    <cfRule type="cellIs" dxfId="9245" priority="11737" operator="between">
      <formula>0.56251</formula>
      <formula>0.7125</formula>
    </cfRule>
    <cfRule type="cellIs" dxfId="9244" priority="11738" operator="between">
      <formula>0.3751</formula>
      <formula>0.5625</formula>
    </cfRule>
    <cfRule type="cellIs" dxfId="9243" priority="11739" operator="greaterThan">
      <formula>0.751</formula>
    </cfRule>
    <cfRule type="cellIs" dxfId="9242" priority="11740" operator="between">
      <formula>0.71251</formula>
      <formula>0.75</formula>
    </cfRule>
    <cfRule type="cellIs" dxfId="9241" priority="11741" stopIfTrue="1" operator="between">
      <formula>0</formula>
      <formula>0.375</formula>
    </cfRule>
  </conditionalFormatting>
  <conditionalFormatting sqref="S346">
    <cfRule type="cellIs" dxfId="9240" priority="11715" operator="between">
      <formula>0.76</formula>
      <formula>0.95</formula>
    </cfRule>
    <cfRule type="cellIs" dxfId="9239" priority="11716" operator="between">
      <formula>0.51</formula>
      <formula>0.75</formula>
    </cfRule>
    <cfRule type="cellIs" dxfId="9238" priority="11717" operator="greaterThan">
      <formula>1</formula>
    </cfRule>
    <cfRule type="cellIs" dxfId="9237" priority="11718" operator="between">
      <formula>0.95</formula>
      <formula>1</formula>
    </cfRule>
    <cfRule type="cellIs" dxfId="9236" priority="11719" stopIfTrue="1" operator="between">
      <formula>0</formula>
      <formula>0.5</formula>
    </cfRule>
  </conditionalFormatting>
  <conditionalFormatting sqref="AG346">
    <cfRule type="cellIs" dxfId="9235" priority="11710" operator="between">
      <formula>0.76</formula>
      <formula>0.95</formula>
    </cfRule>
    <cfRule type="cellIs" dxfId="9234" priority="11711" operator="between">
      <formula>0.51</formula>
      <formula>0.75</formula>
    </cfRule>
    <cfRule type="cellIs" dxfId="9233" priority="11712" operator="greaterThan">
      <formula>1</formula>
    </cfRule>
    <cfRule type="cellIs" dxfId="9232" priority="11713" operator="between">
      <formula>0.95</formula>
      <formula>1</formula>
    </cfRule>
    <cfRule type="cellIs" dxfId="9231" priority="11714" stopIfTrue="1" operator="between">
      <formula>0</formula>
      <formula>0.5</formula>
    </cfRule>
  </conditionalFormatting>
  <conditionalFormatting sqref="Z348">
    <cfRule type="cellIs" dxfId="9230" priority="11705" operator="between">
      <formula>0.76</formula>
      <formula>0.95</formula>
    </cfRule>
    <cfRule type="cellIs" dxfId="9229" priority="11706" operator="between">
      <formula>0.51</formula>
      <formula>0.75</formula>
    </cfRule>
    <cfRule type="cellIs" dxfId="9228" priority="11707" operator="greaterThan">
      <formula>1</formula>
    </cfRule>
    <cfRule type="cellIs" dxfId="9227" priority="11708" operator="between">
      <formula>0.95</formula>
      <formula>1</formula>
    </cfRule>
    <cfRule type="cellIs" dxfId="9226" priority="11709" stopIfTrue="1" operator="between">
      <formula>0</formula>
      <formula>0.5</formula>
    </cfRule>
  </conditionalFormatting>
  <conditionalFormatting sqref="S327">
    <cfRule type="cellIs" dxfId="9225" priority="11700" operator="between">
      <formula>0.76</formula>
      <formula>0.95</formula>
    </cfRule>
    <cfRule type="cellIs" dxfId="9224" priority="11701" operator="between">
      <formula>0.51</formula>
      <formula>0.75</formula>
    </cfRule>
    <cfRule type="cellIs" dxfId="9223" priority="11702" operator="greaterThan">
      <formula>1</formula>
    </cfRule>
    <cfRule type="cellIs" dxfId="9222" priority="11703" operator="between">
      <formula>0.95</formula>
      <formula>1</formula>
    </cfRule>
    <cfRule type="cellIs" dxfId="9221" priority="11704" stopIfTrue="1" operator="between">
      <formula>0</formula>
      <formula>0.5</formula>
    </cfRule>
  </conditionalFormatting>
  <conditionalFormatting sqref="V327">
    <cfRule type="cellIs" dxfId="9220" priority="11690" operator="between">
      <formula>0.376</formula>
      <formula>0.475</formula>
    </cfRule>
    <cfRule type="cellIs" dxfId="9219" priority="11691" operator="between">
      <formula>0.2551</formula>
      <formula>0.3751</formula>
    </cfRule>
    <cfRule type="cellIs" dxfId="9218" priority="11692" operator="greaterThan">
      <formula>0.505</formula>
    </cfRule>
    <cfRule type="cellIs" dxfId="9217" priority="11693" operator="between">
      <formula>0.48</formula>
      <formula>0.5</formula>
    </cfRule>
    <cfRule type="cellIs" dxfId="9216" priority="11694" stopIfTrue="1" operator="between">
      <formula>0</formula>
      <formula>0.255</formula>
    </cfRule>
  </conditionalFormatting>
  <conditionalFormatting sqref="S348">
    <cfRule type="cellIs" dxfId="9215" priority="11635" operator="between">
      <formula>0.76</formula>
      <formula>0.95</formula>
    </cfRule>
    <cfRule type="cellIs" dxfId="9214" priority="11636" operator="between">
      <formula>0.51</formula>
      <formula>0.75</formula>
    </cfRule>
    <cfRule type="cellIs" dxfId="9213" priority="11637" operator="greaterThan">
      <formula>1</formula>
    </cfRule>
    <cfRule type="cellIs" dxfId="9212" priority="11638" operator="between">
      <formula>0.95</formula>
      <formula>1</formula>
    </cfRule>
    <cfRule type="cellIs" dxfId="9211" priority="11639" stopIfTrue="1" operator="between">
      <formula>0</formula>
      <formula>0.5</formula>
    </cfRule>
  </conditionalFormatting>
  <conditionalFormatting sqref="V348">
    <cfRule type="cellIs" dxfId="9210" priority="11630" operator="between">
      <formula>0.376</formula>
      <formula>0.475</formula>
    </cfRule>
    <cfRule type="cellIs" dxfId="9209" priority="11631" operator="between">
      <formula>0.2551</formula>
      <formula>0.3751</formula>
    </cfRule>
    <cfRule type="cellIs" dxfId="9208" priority="11632" operator="greaterThan">
      <formula>0.505</formula>
    </cfRule>
    <cfRule type="cellIs" dxfId="9207" priority="11633" operator="between">
      <formula>0.48</formula>
      <formula>0.5</formula>
    </cfRule>
    <cfRule type="cellIs" dxfId="9206" priority="11634" stopIfTrue="1" operator="between">
      <formula>0</formula>
      <formula>0.255</formula>
    </cfRule>
  </conditionalFormatting>
  <conditionalFormatting sqref="AG348">
    <cfRule type="cellIs" dxfId="9205" priority="11590" operator="between">
      <formula>0.76</formula>
      <formula>0.95</formula>
    </cfRule>
    <cfRule type="cellIs" dxfId="9204" priority="11591" operator="between">
      <formula>0.51</formula>
      <formula>0.75</formula>
    </cfRule>
    <cfRule type="cellIs" dxfId="9203" priority="11592" operator="greaterThan">
      <formula>1</formula>
    </cfRule>
    <cfRule type="cellIs" dxfId="9202" priority="11593" operator="between">
      <formula>0.95</formula>
      <formula>1</formula>
    </cfRule>
    <cfRule type="cellIs" dxfId="9201" priority="11594" stopIfTrue="1" operator="between">
      <formula>0</formula>
      <formula>0.5</formula>
    </cfRule>
  </conditionalFormatting>
  <conditionalFormatting sqref="Y272 AF272:AI272 R272">
    <cfRule type="cellIs" dxfId="9200" priority="11585" operator="between">
      <formula>0.76</formula>
      <formula>0.95</formula>
    </cfRule>
    <cfRule type="cellIs" dxfId="9199" priority="11586" operator="between">
      <formula>0.51</formula>
      <formula>0.75</formula>
    </cfRule>
    <cfRule type="cellIs" dxfId="9198" priority="11587" operator="greaterThan">
      <formula>1</formula>
    </cfRule>
    <cfRule type="cellIs" dxfId="9197" priority="11588" operator="between">
      <formula>0.95</formula>
      <formula>1</formula>
    </cfRule>
    <cfRule type="cellIs" dxfId="9196" priority="11589" stopIfTrue="1" operator="between">
      <formula>0</formula>
      <formula>0.5</formula>
    </cfRule>
  </conditionalFormatting>
  <conditionalFormatting sqref="T272">
    <cfRule type="cellIs" dxfId="9195" priority="11580" operator="between">
      <formula>0.3751</formula>
      <formula>0.475</formula>
    </cfRule>
    <cfRule type="cellIs" dxfId="9194" priority="11581" operator="between">
      <formula>0.2551</formula>
      <formula>0.375</formula>
    </cfRule>
    <cfRule type="cellIs" dxfId="9193" priority="11582" operator="greaterThan">
      <formula>0.505</formula>
    </cfRule>
    <cfRule type="cellIs" dxfId="9192" priority="11583" operator="between">
      <formula>0.48</formula>
      <formula>0.5</formula>
    </cfRule>
    <cfRule type="cellIs" dxfId="9191" priority="11584" stopIfTrue="1" operator="between">
      <formula>0</formula>
      <formula>0.255</formula>
    </cfRule>
  </conditionalFormatting>
  <conditionalFormatting sqref="AA272:AB272">
    <cfRule type="cellIs" dxfId="9190" priority="11575" operator="between">
      <formula>0.56251</formula>
      <formula>0.7125</formula>
    </cfRule>
    <cfRule type="cellIs" dxfId="9189" priority="11576" operator="between">
      <formula>0.3751</formula>
      <formula>0.5625</formula>
    </cfRule>
    <cfRule type="cellIs" dxfId="9188" priority="11577" operator="greaterThan">
      <formula>0.751</formula>
    </cfRule>
    <cfRule type="cellIs" dxfId="9187" priority="11578" operator="between">
      <formula>0.71251</formula>
      <formula>0.75</formula>
    </cfRule>
    <cfRule type="cellIs" dxfId="9186" priority="11579" stopIfTrue="1" operator="between">
      <formula>0</formula>
      <formula>0.375</formula>
    </cfRule>
  </conditionalFormatting>
  <conditionalFormatting sqref="U272">
    <cfRule type="cellIs" dxfId="9185" priority="11565" operator="between">
      <formula>0.376</formula>
      <formula>0.475</formula>
    </cfRule>
    <cfRule type="cellIs" dxfId="9184" priority="11566" operator="between">
      <formula>0.2551</formula>
      <formula>0.3751</formula>
    </cfRule>
    <cfRule type="cellIs" dxfId="9183" priority="11567" operator="greaterThan">
      <formula>0.505</formula>
    </cfRule>
    <cfRule type="cellIs" dxfId="9182" priority="11568" operator="between">
      <formula>0.48</formula>
      <formula>0.5</formula>
    </cfRule>
    <cfRule type="cellIs" dxfId="9181" priority="11569" stopIfTrue="1" operator="between">
      <formula>0</formula>
      <formula>0.255</formula>
    </cfRule>
  </conditionalFormatting>
  <conditionalFormatting sqref="S272">
    <cfRule type="cellIs" dxfId="9180" priority="11557" operator="between">
      <formula>0.76</formula>
      <formula>0.95</formula>
    </cfRule>
    <cfRule type="cellIs" dxfId="9179" priority="11558" operator="between">
      <formula>0.51</formula>
      <formula>0.75</formula>
    </cfRule>
    <cfRule type="cellIs" dxfId="9178" priority="11559" operator="greaterThan">
      <formula>1</formula>
    </cfRule>
    <cfRule type="cellIs" dxfId="9177" priority="11560" operator="between">
      <formula>0.95</formula>
      <formula>1</formula>
    </cfRule>
    <cfRule type="cellIs" dxfId="9176" priority="11561" stopIfTrue="1" operator="between">
      <formula>0</formula>
      <formula>0.5</formula>
    </cfRule>
  </conditionalFormatting>
  <conditionalFormatting sqref="V272">
    <cfRule type="cellIs" dxfId="9175" priority="11552" operator="between">
      <formula>0.376</formula>
      <formula>0.475</formula>
    </cfRule>
    <cfRule type="cellIs" dxfId="9174" priority="11553" operator="between">
      <formula>0.2551</formula>
      <formula>0.3751</formula>
    </cfRule>
    <cfRule type="cellIs" dxfId="9173" priority="11554" operator="greaterThan">
      <formula>0.505</formula>
    </cfRule>
    <cfRule type="cellIs" dxfId="9172" priority="11555" operator="between">
      <formula>0.48</formula>
      <formula>0.5</formula>
    </cfRule>
    <cfRule type="cellIs" dxfId="9171" priority="11556" stopIfTrue="1" operator="between">
      <formula>0</formula>
      <formula>0.255</formula>
    </cfRule>
  </conditionalFormatting>
  <conditionalFormatting sqref="Z265:Z266">
    <cfRule type="cellIs" dxfId="9170" priority="11547" operator="between">
      <formula>0.76</formula>
      <formula>0.95</formula>
    </cfRule>
    <cfRule type="cellIs" dxfId="9169" priority="11548" operator="between">
      <formula>0.51</formula>
      <formula>0.75</formula>
    </cfRule>
    <cfRule type="cellIs" dxfId="9168" priority="11549" operator="greaterThan">
      <formula>1</formula>
    </cfRule>
    <cfRule type="cellIs" dxfId="9167" priority="11550" operator="between">
      <formula>0.95</formula>
      <formula>1</formula>
    </cfRule>
    <cfRule type="cellIs" dxfId="9166" priority="11551" stopIfTrue="1" operator="between">
      <formula>0</formula>
      <formula>0.5</formula>
    </cfRule>
  </conditionalFormatting>
  <conditionalFormatting sqref="Z271">
    <cfRule type="cellIs" dxfId="9165" priority="11542" operator="between">
      <formula>0.76</formula>
      <formula>0.95</formula>
    </cfRule>
    <cfRule type="cellIs" dxfId="9164" priority="11543" operator="between">
      <formula>0.51</formula>
      <formula>0.75</formula>
    </cfRule>
    <cfRule type="cellIs" dxfId="9163" priority="11544" operator="greaterThan">
      <formula>1</formula>
    </cfRule>
    <cfRule type="cellIs" dxfId="9162" priority="11545" operator="between">
      <formula>0.95</formula>
      <formula>1</formula>
    </cfRule>
    <cfRule type="cellIs" dxfId="9161" priority="11546" stopIfTrue="1" operator="between">
      <formula>0</formula>
      <formula>0.5</formula>
    </cfRule>
  </conditionalFormatting>
  <conditionalFormatting sqref="Z272">
    <cfRule type="cellIs" dxfId="9160" priority="11537" operator="between">
      <formula>0.76</formula>
      <formula>0.95</formula>
    </cfRule>
    <cfRule type="cellIs" dxfId="9159" priority="11538" operator="between">
      <formula>0.51</formula>
      <formula>0.75</formula>
    </cfRule>
    <cfRule type="cellIs" dxfId="9158" priority="11539" operator="greaterThan">
      <formula>1</formula>
    </cfRule>
    <cfRule type="cellIs" dxfId="9157" priority="11540" operator="between">
      <formula>0.95</formula>
      <formula>1</formula>
    </cfRule>
    <cfRule type="cellIs" dxfId="9156" priority="11541" stopIfTrue="1" operator="between">
      <formula>0</formula>
      <formula>0.5</formula>
    </cfRule>
  </conditionalFormatting>
  <conditionalFormatting sqref="AC272">
    <cfRule type="cellIs" dxfId="9155" priority="11532" operator="between">
      <formula>0.56251</formula>
      <formula>0.7125</formula>
    </cfRule>
    <cfRule type="cellIs" dxfId="9154" priority="11533" operator="between">
      <formula>0.3751</formula>
      <formula>0.5625</formula>
    </cfRule>
    <cfRule type="cellIs" dxfId="9153" priority="11534" operator="greaterThan">
      <formula>0.751</formula>
    </cfRule>
    <cfRule type="cellIs" dxfId="9152" priority="11535" operator="between">
      <formula>0.71251</formula>
      <formula>0.75</formula>
    </cfRule>
    <cfRule type="cellIs" dxfId="9151" priority="11536" stopIfTrue="1" operator="between">
      <formula>0</formula>
      <formula>0.375</formula>
    </cfRule>
  </conditionalFormatting>
  <conditionalFormatting sqref="Y273:Y274 AF273:AI274 R273:R274">
    <cfRule type="cellIs" dxfId="9150" priority="11527" operator="between">
      <formula>0.76</formula>
      <formula>0.95</formula>
    </cfRule>
    <cfRule type="cellIs" dxfId="9149" priority="11528" operator="between">
      <formula>0.51</formula>
      <formula>0.75</formula>
    </cfRule>
    <cfRule type="cellIs" dxfId="9148" priority="11529" operator="greaterThan">
      <formula>1</formula>
    </cfRule>
    <cfRule type="cellIs" dxfId="9147" priority="11530" operator="between">
      <formula>0.95</formula>
      <formula>1</formula>
    </cfRule>
    <cfRule type="cellIs" dxfId="9146" priority="11531" stopIfTrue="1" operator="between">
      <formula>0</formula>
      <formula>0.5</formula>
    </cfRule>
  </conditionalFormatting>
  <conditionalFormatting sqref="T273:T274">
    <cfRule type="cellIs" dxfId="9145" priority="11522" operator="between">
      <formula>0.3751</formula>
      <formula>0.475</formula>
    </cfRule>
    <cfRule type="cellIs" dxfId="9144" priority="11523" operator="between">
      <formula>0.2551</formula>
      <formula>0.375</formula>
    </cfRule>
    <cfRule type="cellIs" dxfId="9143" priority="11524" operator="greaterThan">
      <formula>0.505</formula>
    </cfRule>
    <cfRule type="cellIs" dxfId="9142" priority="11525" operator="between">
      <formula>0.48</formula>
      <formula>0.5</formula>
    </cfRule>
    <cfRule type="cellIs" dxfId="9141" priority="11526" stopIfTrue="1" operator="between">
      <formula>0</formula>
      <formula>0.255</formula>
    </cfRule>
  </conditionalFormatting>
  <conditionalFormatting sqref="AA273:AB274">
    <cfRule type="cellIs" dxfId="9140" priority="11517" operator="between">
      <formula>0.56251</formula>
      <formula>0.7125</formula>
    </cfRule>
    <cfRule type="cellIs" dxfId="9139" priority="11518" operator="between">
      <formula>0.3751</formula>
      <formula>0.5625</formula>
    </cfRule>
    <cfRule type="cellIs" dxfId="9138" priority="11519" operator="greaterThan">
      <formula>0.751</formula>
    </cfRule>
    <cfRule type="cellIs" dxfId="9137" priority="11520" operator="between">
      <formula>0.71251</formula>
      <formula>0.75</formula>
    </cfRule>
    <cfRule type="cellIs" dxfId="9136" priority="11521" stopIfTrue="1" operator="between">
      <formula>0</formula>
      <formula>0.375</formula>
    </cfRule>
  </conditionalFormatting>
  <conditionalFormatting sqref="U273:U274">
    <cfRule type="cellIs" dxfId="9135" priority="11507" operator="between">
      <formula>0.376</formula>
      <formula>0.475</formula>
    </cfRule>
    <cfRule type="cellIs" dxfId="9134" priority="11508" operator="between">
      <formula>0.2551</formula>
      <formula>0.3751</formula>
    </cfRule>
    <cfRule type="cellIs" dxfId="9133" priority="11509" operator="greaterThan">
      <formula>0.505</formula>
    </cfRule>
    <cfRule type="cellIs" dxfId="9132" priority="11510" operator="between">
      <formula>0.48</formula>
      <formula>0.5</formula>
    </cfRule>
    <cfRule type="cellIs" dxfId="9131" priority="11511" stopIfTrue="1" operator="between">
      <formula>0</formula>
      <formula>0.255</formula>
    </cfRule>
  </conditionalFormatting>
  <conditionalFormatting sqref="S273:S274">
    <cfRule type="cellIs" dxfId="9130" priority="11499" operator="between">
      <formula>0.76</formula>
      <formula>0.95</formula>
    </cfRule>
    <cfRule type="cellIs" dxfId="9129" priority="11500" operator="between">
      <formula>0.51</formula>
      <formula>0.75</formula>
    </cfRule>
    <cfRule type="cellIs" dxfId="9128" priority="11501" operator="greaterThan">
      <formula>1</formula>
    </cfRule>
    <cfRule type="cellIs" dxfId="9127" priority="11502" operator="between">
      <formula>0.95</formula>
      <formula>1</formula>
    </cfRule>
    <cfRule type="cellIs" dxfId="9126" priority="11503" stopIfTrue="1" operator="between">
      <formula>0</formula>
      <formula>0.5</formula>
    </cfRule>
  </conditionalFormatting>
  <conditionalFormatting sqref="V273:V274">
    <cfRule type="cellIs" dxfId="9125" priority="11494" operator="between">
      <formula>0.376</formula>
      <formula>0.475</formula>
    </cfRule>
    <cfRule type="cellIs" dxfId="9124" priority="11495" operator="between">
      <formula>0.2551</formula>
      <formula>0.3751</formula>
    </cfRule>
    <cfRule type="cellIs" dxfId="9123" priority="11496" operator="greaterThan">
      <formula>0.505</formula>
    </cfRule>
    <cfRule type="cellIs" dxfId="9122" priority="11497" operator="between">
      <formula>0.48</formula>
      <formula>0.5</formula>
    </cfRule>
    <cfRule type="cellIs" dxfId="9121" priority="11498" stopIfTrue="1" operator="between">
      <formula>0</formula>
      <formula>0.255</formula>
    </cfRule>
  </conditionalFormatting>
  <conditionalFormatting sqref="Z273:Z274">
    <cfRule type="cellIs" dxfId="9120" priority="11489" operator="between">
      <formula>0.76</formula>
      <formula>0.95</formula>
    </cfRule>
    <cfRule type="cellIs" dxfId="9119" priority="11490" operator="between">
      <formula>0.51</formula>
      <formula>0.75</formula>
    </cfRule>
    <cfRule type="cellIs" dxfId="9118" priority="11491" operator="greaterThan">
      <formula>1</formula>
    </cfRule>
    <cfRule type="cellIs" dxfId="9117" priority="11492" operator="between">
      <formula>0.95</formula>
      <formula>1</formula>
    </cfRule>
    <cfRule type="cellIs" dxfId="9116" priority="11493" stopIfTrue="1" operator="between">
      <formula>0</formula>
      <formula>0.5</formula>
    </cfRule>
  </conditionalFormatting>
  <conditionalFormatting sqref="AC273:AC274">
    <cfRule type="cellIs" dxfId="9115" priority="11484" operator="between">
      <formula>0.56251</formula>
      <formula>0.7125</formula>
    </cfRule>
    <cfRule type="cellIs" dxfId="9114" priority="11485" operator="between">
      <formula>0.3751</formula>
      <formula>0.5625</formula>
    </cfRule>
    <cfRule type="cellIs" dxfId="9113" priority="11486" operator="greaterThan">
      <formula>0.751</formula>
    </cfRule>
    <cfRule type="cellIs" dxfId="9112" priority="11487" operator="between">
      <formula>0.71251</formula>
      <formula>0.75</formula>
    </cfRule>
    <cfRule type="cellIs" dxfId="9111" priority="11488" stopIfTrue="1" operator="between">
      <formula>0</formula>
      <formula>0.375</formula>
    </cfRule>
  </conditionalFormatting>
  <conditionalFormatting sqref="R178 Y178 AF178:AI178">
    <cfRule type="cellIs" dxfId="9110" priority="11479" operator="between">
      <formula>0.76</formula>
      <formula>0.95</formula>
    </cfRule>
    <cfRule type="cellIs" dxfId="9109" priority="11480" operator="between">
      <formula>0.51</formula>
      <formula>0.75</formula>
    </cfRule>
    <cfRule type="cellIs" dxfId="9108" priority="11481" operator="greaterThan">
      <formula>1</formula>
    </cfRule>
    <cfRule type="cellIs" dxfId="9107" priority="11482" operator="between">
      <formula>0.95</formula>
      <formula>1</formula>
    </cfRule>
    <cfRule type="cellIs" dxfId="9106" priority="11483" stopIfTrue="1" operator="between">
      <formula>0</formula>
      <formula>0.5</formula>
    </cfRule>
  </conditionalFormatting>
  <conditionalFormatting sqref="T178">
    <cfRule type="cellIs" dxfId="9105" priority="11474" operator="between">
      <formula>0.3751</formula>
      <formula>0.475</formula>
    </cfRule>
    <cfRule type="cellIs" dxfId="9104" priority="11475" operator="between">
      <formula>0.2551</formula>
      <formula>0.375</formula>
    </cfRule>
    <cfRule type="cellIs" dxfId="9103" priority="11476" operator="greaterThan">
      <formula>0.505</formula>
    </cfRule>
    <cfRule type="cellIs" dxfId="9102" priority="11477" operator="between">
      <formula>0.48</formula>
      <formula>0.5</formula>
    </cfRule>
    <cfRule type="cellIs" dxfId="9101" priority="11478" stopIfTrue="1" operator="between">
      <formula>0</formula>
      <formula>0.255</formula>
    </cfRule>
  </conditionalFormatting>
  <conditionalFormatting sqref="AA178:AB178">
    <cfRule type="cellIs" dxfId="9100" priority="11469" operator="between">
      <formula>0.56251</formula>
      <formula>0.7125</formula>
    </cfRule>
    <cfRule type="cellIs" dxfId="9099" priority="11470" operator="between">
      <formula>0.3751</formula>
      <formula>0.5625</formula>
    </cfRule>
    <cfRule type="cellIs" dxfId="9098" priority="11471" operator="greaterThan">
      <formula>0.751</formula>
    </cfRule>
    <cfRule type="cellIs" dxfId="9097" priority="11472" operator="between">
      <formula>0.71251</formula>
      <formula>0.75</formula>
    </cfRule>
    <cfRule type="cellIs" dxfId="9096" priority="11473" stopIfTrue="1" operator="between">
      <formula>0</formula>
      <formula>0.375</formula>
    </cfRule>
  </conditionalFormatting>
  <conditionalFormatting sqref="U178">
    <cfRule type="cellIs" dxfId="9095" priority="11459" operator="between">
      <formula>0.376</formula>
      <formula>0.475</formula>
    </cfRule>
    <cfRule type="cellIs" dxfId="9094" priority="11460" operator="between">
      <formula>0.2551</formula>
      <formula>0.3751</formula>
    </cfRule>
    <cfRule type="cellIs" dxfId="9093" priority="11461" operator="greaterThan">
      <formula>0.505</formula>
    </cfRule>
    <cfRule type="cellIs" dxfId="9092" priority="11462" operator="between">
      <formula>0.48</formula>
      <formula>0.5</formula>
    </cfRule>
    <cfRule type="cellIs" dxfId="9091" priority="11463" stopIfTrue="1" operator="between">
      <formula>0</formula>
      <formula>0.255</formula>
    </cfRule>
  </conditionalFormatting>
  <conditionalFormatting sqref="S178">
    <cfRule type="cellIs" dxfId="9090" priority="11436" operator="between">
      <formula>0.76</formula>
      <formula>0.95</formula>
    </cfRule>
    <cfRule type="cellIs" dxfId="9089" priority="11437" operator="between">
      <formula>0.51</formula>
      <formula>0.75</formula>
    </cfRule>
    <cfRule type="cellIs" dxfId="9088" priority="11438" operator="greaterThan">
      <formula>1</formula>
    </cfRule>
    <cfRule type="cellIs" dxfId="9087" priority="11439" operator="between">
      <formula>0.95</formula>
      <formula>1</formula>
    </cfRule>
    <cfRule type="cellIs" dxfId="9086" priority="11440" stopIfTrue="1" operator="between">
      <formula>0</formula>
      <formula>0.5</formula>
    </cfRule>
  </conditionalFormatting>
  <conditionalFormatting sqref="V178">
    <cfRule type="cellIs" dxfId="9085" priority="11431" operator="between">
      <formula>0.376</formula>
      <formula>0.475</formula>
    </cfRule>
    <cfRule type="cellIs" dxfId="9084" priority="11432" operator="between">
      <formula>0.2551</formula>
      <formula>0.3751</formula>
    </cfRule>
    <cfRule type="cellIs" dxfId="9083" priority="11433" operator="greaterThan">
      <formula>0.505</formula>
    </cfRule>
    <cfRule type="cellIs" dxfId="9082" priority="11434" operator="between">
      <formula>0.48</formula>
      <formula>0.5</formula>
    </cfRule>
    <cfRule type="cellIs" dxfId="9081" priority="11435" stopIfTrue="1" operator="between">
      <formula>0</formula>
      <formula>0.255</formula>
    </cfRule>
  </conditionalFormatting>
  <conditionalFormatting sqref="AC178">
    <cfRule type="cellIs" dxfId="9080" priority="11426" operator="between">
      <formula>0.56251</formula>
      <formula>0.7125</formula>
    </cfRule>
    <cfRule type="cellIs" dxfId="9079" priority="11427" operator="between">
      <formula>0.3751</formula>
      <formula>0.5625</formula>
    </cfRule>
    <cfRule type="cellIs" dxfId="9078" priority="11428" operator="greaterThan">
      <formula>0.751</formula>
    </cfRule>
    <cfRule type="cellIs" dxfId="9077" priority="11429" operator="between">
      <formula>0.71251</formula>
      <formula>0.75</formula>
    </cfRule>
    <cfRule type="cellIs" dxfId="9076" priority="11430" stopIfTrue="1" operator="between">
      <formula>0</formula>
      <formula>0.375</formula>
    </cfRule>
  </conditionalFormatting>
  <conditionalFormatting sqref="Y275 AF275:AI275 R275">
    <cfRule type="cellIs" dxfId="9075" priority="11363" operator="between">
      <formula>0.76</formula>
      <formula>0.95</formula>
    </cfRule>
    <cfRule type="cellIs" dxfId="9074" priority="11364" operator="between">
      <formula>0.51</formula>
      <formula>0.75</formula>
    </cfRule>
    <cfRule type="cellIs" dxfId="9073" priority="11365" operator="greaterThan">
      <formula>1</formula>
    </cfRule>
    <cfRule type="cellIs" dxfId="9072" priority="11366" operator="between">
      <formula>0.95</formula>
      <formula>1</formula>
    </cfRule>
    <cfRule type="cellIs" dxfId="9071" priority="11367" stopIfTrue="1" operator="between">
      <formula>0</formula>
      <formula>0.5</formula>
    </cfRule>
  </conditionalFormatting>
  <conditionalFormatting sqref="T275">
    <cfRule type="cellIs" dxfId="9070" priority="11358" operator="between">
      <formula>0.3751</formula>
      <formula>0.475</formula>
    </cfRule>
    <cfRule type="cellIs" dxfId="9069" priority="11359" operator="between">
      <formula>0.2551</formula>
      <formula>0.375</formula>
    </cfRule>
    <cfRule type="cellIs" dxfId="9068" priority="11360" operator="greaterThan">
      <formula>0.505</formula>
    </cfRule>
    <cfRule type="cellIs" dxfId="9067" priority="11361" operator="between">
      <formula>0.48</formula>
      <formula>0.5</formula>
    </cfRule>
    <cfRule type="cellIs" dxfId="9066" priority="11362" stopIfTrue="1" operator="between">
      <formula>0</formula>
      <formula>0.255</formula>
    </cfRule>
  </conditionalFormatting>
  <conditionalFormatting sqref="AA275:AB275">
    <cfRule type="cellIs" dxfId="9065" priority="11353" operator="between">
      <formula>0.56251</formula>
      <formula>0.7125</formula>
    </cfRule>
    <cfRule type="cellIs" dxfId="9064" priority="11354" operator="between">
      <formula>0.3751</formula>
      <formula>0.5625</formula>
    </cfRule>
    <cfRule type="cellIs" dxfId="9063" priority="11355" operator="greaterThan">
      <formula>0.751</formula>
    </cfRule>
    <cfRule type="cellIs" dxfId="9062" priority="11356" operator="between">
      <formula>0.71251</formula>
      <formula>0.75</formula>
    </cfRule>
    <cfRule type="cellIs" dxfId="9061" priority="11357" stopIfTrue="1" operator="between">
      <formula>0</formula>
      <formula>0.375</formula>
    </cfRule>
  </conditionalFormatting>
  <conditionalFormatting sqref="U275">
    <cfRule type="cellIs" dxfId="9060" priority="11343" operator="between">
      <formula>0.376</formula>
      <formula>0.475</formula>
    </cfRule>
    <cfRule type="cellIs" dxfId="9059" priority="11344" operator="between">
      <formula>0.2551</formula>
      <formula>0.3751</formula>
    </cfRule>
    <cfRule type="cellIs" dxfId="9058" priority="11345" operator="greaterThan">
      <formula>0.505</formula>
    </cfRule>
    <cfRule type="cellIs" dxfId="9057" priority="11346" operator="between">
      <formula>0.48</formula>
      <formula>0.5</formula>
    </cfRule>
    <cfRule type="cellIs" dxfId="9056" priority="11347" stopIfTrue="1" operator="between">
      <formula>0</formula>
      <formula>0.255</formula>
    </cfRule>
  </conditionalFormatting>
  <conditionalFormatting sqref="S275">
    <cfRule type="cellIs" dxfId="9055" priority="11335" operator="between">
      <formula>0.76</formula>
      <formula>0.95</formula>
    </cfRule>
    <cfRule type="cellIs" dxfId="9054" priority="11336" operator="between">
      <formula>0.51</formula>
      <formula>0.75</formula>
    </cfRule>
    <cfRule type="cellIs" dxfId="9053" priority="11337" operator="greaterThan">
      <formula>1</formula>
    </cfRule>
    <cfRule type="cellIs" dxfId="9052" priority="11338" operator="between">
      <formula>0.95</formula>
      <formula>1</formula>
    </cfRule>
    <cfRule type="cellIs" dxfId="9051" priority="11339" stopIfTrue="1" operator="between">
      <formula>0</formula>
      <formula>0.5</formula>
    </cfRule>
  </conditionalFormatting>
  <conditionalFormatting sqref="Z275">
    <cfRule type="cellIs" dxfId="9050" priority="11325" operator="between">
      <formula>0.76</formula>
      <formula>0.95</formula>
    </cfRule>
    <cfRule type="cellIs" dxfId="9049" priority="11326" operator="between">
      <formula>0.51</formula>
      <formula>0.75</formula>
    </cfRule>
    <cfRule type="cellIs" dxfId="9048" priority="11327" operator="greaterThan">
      <formula>1</formula>
    </cfRule>
    <cfRule type="cellIs" dxfId="9047" priority="11328" operator="between">
      <formula>0.95</formula>
      <formula>1</formula>
    </cfRule>
    <cfRule type="cellIs" dxfId="9046" priority="11329" stopIfTrue="1" operator="between">
      <formula>0</formula>
      <formula>0.5</formula>
    </cfRule>
  </conditionalFormatting>
  <conditionalFormatting sqref="AC275">
    <cfRule type="cellIs" dxfId="9045" priority="11320" operator="between">
      <formula>0.56251</formula>
      <formula>0.7125</formula>
    </cfRule>
    <cfRule type="cellIs" dxfId="9044" priority="11321" operator="between">
      <formula>0.3751</formula>
      <formula>0.5625</formula>
    </cfRule>
    <cfRule type="cellIs" dxfId="9043" priority="11322" operator="greaterThan">
      <formula>0.751</formula>
    </cfRule>
    <cfRule type="cellIs" dxfId="9042" priority="11323" operator="between">
      <formula>0.71251</formula>
      <formula>0.75</formula>
    </cfRule>
    <cfRule type="cellIs" dxfId="9041" priority="11324" stopIfTrue="1" operator="between">
      <formula>0</formula>
      <formula>0.375</formula>
    </cfRule>
  </conditionalFormatting>
  <conditionalFormatting sqref="V275">
    <cfRule type="cellIs" dxfId="9040" priority="11295" operator="between">
      <formula>0.376</formula>
      <formula>0.475</formula>
    </cfRule>
    <cfRule type="cellIs" dxfId="9039" priority="11296" operator="between">
      <formula>0.2551</formula>
      <formula>0.3751</formula>
    </cfRule>
    <cfRule type="cellIs" dxfId="9038" priority="11297" operator="greaterThan">
      <formula>0.505</formula>
    </cfRule>
    <cfRule type="cellIs" dxfId="9037" priority="11298" operator="between">
      <formula>0.48</formula>
      <formula>0.5</formula>
    </cfRule>
    <cfRule type="cellIs" dxfId="9036" priority="11299" stopIfTrue="1" operator="between">
      <formula>0</formula>
      <formula>0.255</formula>
    </cfRule>
  </conditionalFormatting>
  <conditionalFormatting sqref="AI352">
    <cfRule type="cellIs" dxfId="9035" priority="11290" operator="between">
      <formula>0.76</formula>
      <formula>0.95</formula>
    </cfRule>
    <cfRule type="cellIs" dxfId="9034" priority="11291" operator="between">
      <formula>0.51</formula>
      <formula>0.75</formula>
    </cfRule>
    <cfRule type="cellIs" dxfId="9033" priority="11292" operator="greaterThan">
      <formula>1</formula>
    </cfRule>
    <cfRule type="cellIs" dxfId="9032" priority="11293" operator="between">
      <formula>0.95</formula>
      <formula>1</formula>
    </cfRule>
    <cfRule type="cellIs" dxfId="9031" priority="11294" stopIfTrue="1" operator="between">
      <formula>0</formula>
      <formula>0.5</formula>
    </cfRule>
  </conditionalFormatting>
  <conditionalFormatting sqref="R352">
    <cfRule type="cellIs" dxfId="9030" priority="11280" operator="between">
      <formula>0.76</formula>
      <formula>0.95</formula>
    </cfRule>
    <cfRule type="cellIs" dxfId="9029" priority="11281" operator="between">
      <formula>0.51</formula>
      <formula>0.75</formula>
    </cfRule>
    <cfRule type="cellIs" dxfId="9028" priority="11282" operator="greaterThan">
      <formula>1</formula>
    </cfRule>
    <cfRule type="cellIs" dxfId="9027" priority="11283" operator="between">
      <formula>0.95</formula>
      <formula>1</formula>
    </cfRule>
    <cfRule type="cellIs" dxfId="9026" priority="11284" stopIfTrue="1" operator="between">
      <formula>0</formula>
      <formula>0.5</formula>
    </cfRule>
  </conditionalFormatting>
  <conditionalFormatting sqref="Y352">
    <cfRule type="cellIs" dxfId="9025" priority="11275" operator="between">
      <formula>0.76</formula>
      <formula>0.95</formula>
    </cfRule>
    <cfRule type="cellIs" dxfId="9024" priority="11276" operator="between">
      <formula>0.51</formula>
      <formula>0.75</formula>
    </cfRule>
    <cfRule type="cellIs" dxfId="9023" priority="11277" operator="greaterThan">
      <formula>1</formula>
    </cfRule>
    <cfRule type="cellIs" dxfId="9022" priority="11278" operator="between">
      <formula>0.95</formula>
      <formula>1</formula>
    </cfRule>
    <cfRule type="cellIs" dxfId="9021" priority="11279" stopIfTrue="1" operator="between">
      <formula>0</formula>
      <formula>0.5</formula>
    </cfRule>
  </conditionalFormatting>
  <conditionalFormatting sqref="AF352">
    <cfRule type="cellIs" dxfId="9020" priority="11270" operator="between">
      <formula>0.76</formula>
      <formula>0.95</formula>
    </cfRule>
    <cfRule type="cellIs" dxfId="9019" priority="11271" operator="between">
      <formula>0.51</formula>
      <formula>0.75</formula>
    </cfRule>
    <cfRule type="cellIs" dxfId="9018" priority="11272" operator="greaterThan">
      <formula>1</formula>
    </cfRule>
    <cfRule type="cellIs" dxfId="9017" priority="11273" operator="between">
      <formula>0.95</formula>
      <formula>1</formula>
    </cfRule>
    <cfRule type="cellIs" dxfId="9016" priority="11274" stopIfTrue="1" operator="between">
      <formula>0</formula>
      <formula>0.5</formula>
    </cfRule>
  </conditionalFormatting>
  <conditionalFormatting sqref="AH352">
    <cfRule type="cellIs" dxfId="9015" priority="11265" operator="between">
      <formula>0.76</formula>
      <formula>0.95</formula>
    </cfRule>
    <cfRule type="cellIs" dxfId="9014" priority="11266" operator="between">
      <formula>0.51</formula>
      <formula>0.75</formula>
    </cfRule>
    <cfRule type="cellIs" dxfId="9013" priority="11267" operator="greaterThan">
      <formula>1</formula>
    </cfRule>
    <cfRule type="cellIs" dxfId="9012" priority="11268" operator="between">
      <formula>0.95</formula>
      <formula>1</formula>
    </cfRule>
    <cfRule type="cellIs" dxfId="9011" priority="11269" stopIfTrue="1" operator="between">
      <formula>0</formula>
      <formula>0.5</formula>
    </cfRule>
  </conditionalFormatting>
  <conditionalFormatting sqref="T352">
    <cfRule type="cellIs" dxfId="9010" priority="11250" operator="between">
      <formula>0.3751</formula>
      <formula>0.475</formula>
    </cfRule>
    <cfRule type="cellIs" dxfId="9009" priority="11251" operator="between">
      <formula>0.2551</formula>
      <formula>0.375</formula>
    </cfRule>
    <cfRule type="cellIs" dxfId="9008" priority="11252" operator="greaterThan">
      <formula>0.505</formula>
    </cfRule>
    <cfRule type="cellIs" dxfId="9007" priority="11253" operator="between">
      <formula>0.48</formula>
      <formula>0.5</formula>
    </cfRule>
    <cfRule type="cellIs" dxfId="9006" priority="11254" stopIfTrue="1" operator="between">
      <formula>0</formula>
      <formula>0.255</formula>
    </cfRule>
  </conditionalFormatting>
  <conditionalFormatting sqref="U352">
    <cfRule type="cellIs" dxfId="9005" priority="11245" operator="between">
      <formula>0.376</formula>
      <formula>0.475</formula>
    </cfRule>
    <cfRule type="cellIs" dxfId="9004" priority="11246" operator="between">
      <formula>0.2551</formula>
      <formula>0.3751</formula>
    </cfRule>
    <cfRule type="cellIs" dxfId="9003" priority="11247" operator="greaterThan">
      <formula>0.505</formula>
    </cfRule>
    <cfRule type="cellIs" dxfId="9002" priority="11248" operator="between">
      <formula>0.48</formula>
      <formula>0.5</formula>
    </cfRule>
    <cfRule type="cellIs" dxfId="9001" priority="11249" stopIfTrue="1" operator="between">
      <formula>0</formula>
      <formula>0.255</formula>
    </cfRule>
  </conditionalFormatting>
  <conditionalFormatting sqref="AA352">
    <cfRule type="cellIs" dxfId="9000" priority="11240" operator="between">
      <formula>0.56251</formula>
      <formula>0.7125</formula>
    </cfRule>
    <cfRule type="cellIs" dxfId="8999" priority="11241" operator="between">
      <formula>0.3751</formula>
      <formula>0.5625</formula>
    </cfRule>
    <cfRule type="cellIs" dxfId="8998" priority="11242" operator="greaterThan">
      <formula>0.751</formula>
    </cfRule>
    <cfRule type="cellIs" dxfId="8997" priority="11243" operator="between">
      <formula>0.71251</formula>
      <formula>0.75</formula>
    </cfRule>
    <cfRule type="cellIs" dxfId="8996" priority="11244" stopIfTrue="1" operator="between">
      <formula>0</formula>
      <formula>0.375</formula>
    </cfRule>
  </conditionalFormatting>
  <conditionalFormatting sqref="AB352">
    <cfRule type="cellIs" dxfId="8995" priority="11230" operator="between">
      <formula>0.56251</formula>
      <formula>0.7125</formula>
    </cfRule>
    <cfRule type="cellIs" dxfId="8994" priority="11231" operator="between">
      <formula>0.3751</formula>
      <formula>0.5625</formula>
    </cfRule>
    <cfRule type="cellIs" dxfId="8993" priority="11232" operator="greaterThan">
      <formula>0.751</formula>
    </cfRule>
    <cfRule type="cellIs" dxfId="8992" priority="11233" operator="between">
      <formula>0.71251</formula>
      <formula>0.75</formula>
    </cfRule>
    <cfRule type="cellIs" dxfId="8991" priority="11234" stopIfTrue="1" operator="between">
      <formula>0</formula>
      <formula>0.375</formula>
    </cfRule>
  </conditionalFormatting>
  <conditionalFormatting sqref="S352">
    <cfRule type="cellIs" dxfId="8990" priority="11183" operator="between">
      <formula>0.76</formula>
      <formula>0.95</formula>
    </cfRule>
    <cfRule type="cellIs" dxfId="8989" priority="11184" operator="between">
      <formula>0.51</formula>
      <formula>0.75</formula>
    </cfRule>
    <cfRule type="cellIs" dxfId="8988" priority="11185" operator="greaterThan">
      <formula>1</formula>
    </cfRule>
    <cfRule type="cellIs" dxfId="8987" priority="11186" operator="between">
      <formula>0.95</formula>
      <formula>1</formula>
    </cfRule>
    <cfRule type="cellIs" dxfId="8986" priority="11187" stopIfTrue="1" operator="between">
      <formula>0</formula>
      <formula>0.5</formula>
    </cfRule>
  </conditionalFormatting>
  <conditionalFormatting sqref="AG352">
    <cfRule type="cellIs" dxfId="8985" priority="11198" operator="between">
      <formula>0.76</formula>
      <formula>0.95</formula>
    </cfRule>
    <cfRule type="cellIs" dxfId="8984" priority="11199" operator="between">
      <formula>0.51</formula>
      <formula>0.75</formula>
    </cfRule>
    <cfRule type="cellIs" dxfId="8983" priority="11200" operator="greaterThan">
      <formula>1</formula>
    </cfRule>
    <cfRule type="cellIs" dxfId="8982" priority="11201" operator="between">
      <formula>0.95</formula>
      <formula>1</formula>
    </cfRule>
    <cfRule type="cellIs" dxfId="8981" priority="11202" stopIfTrue="1" operator="between">
      <formula>0</formula>
      <formula>0.5</formula>
    </cfRule>
  </conditionalFormatting>
  <conditionalFormatting sqref="V352">
    <cfRule type="cellIs" dxfId="8980" priority="11178" operator="between">
      <formula>0.376</formula>
      <formula>0.475</formula>
    </cfRule>
    <cfRule type="cellIs" dxfId="8979" priority="11179" operator="between">
      <formula>0.2551</formula>
      <formula>0.3751</formula>
    </cfRule>
    <cfRule type="cellIs" dxfId="8978" priority="11180" operator="greaterThan">
      <formula>0.505</formula>
    </cfRule>
    <cfRule type="cellIs" dxfId="8977" priority="11181" operator="between">
      <formula>0.48</formula>
      <formula>0.5</formula>
    </cfRule>
    <cfRule type="cellIs" dxfId="8976" priority="11182" stopIfTrue="1" operator="between">
      <formula>0</formula>
      <formula>0.255</formula>
    </cfRule>
  </conditionalFormatting>
  <conditionalFormatting sqref="Z352">
    <cfRule type="cellIs" dxfId="8975" priority="11173" operator="between">
      <formula>0.76</formula>
      <formula>0.95</formula>
    </cfRule>
    <cfRule type="cellIs" dxfId="8974" priority="11174" operator="between">
      <formula>0.51</formula>
      <formula>0.75</formula>
    </cfRule>
    <cfRule type="cellIs" dxfId="8973" priority="11175" operator="greaterThan">
      <formula>1</formula>
    </cfRule>
    <cfRule type="cellIs" dxfId="8972" priority="11176" operator="between">
      <formula>0.95</formula>
      <formula>1</formula>
    </cfRule>
    <cfRule type="cellIs" dxfId="8971" priority="11177" stopIfTrue="1" operator="between">
      <formula>0</formula>
      <formula>0.5</formula>
    </cfRule>
  </conditionalFormatting>
  <conditionalFormatting sqref="AC352">
    <cfRule type="cellIs" dxfId="8970" priority="11168" operator="between">
      <formula>0.56251</formula>
      <formula>0.7125</formula>
    </cfRule>
    <cfRule type="cellIs" dxfId="8969" priority="11169" operator="between">
      <formula>0.3751</formula>
      <formula>0.5625</formula>
    </cfRule>
    <cfRule type="cellIs" dxfId="8968" priority="11170" operator="greaterThan">
      <formula>0.751</formula>
    </cfRule>
    <cfRule type="cellIs" dxfId="8967" priority="11171" operator="between">
      <formula>0.71251</formula>
      <formula>0.75</formula>
    </cfRule>
    <cfRule type="cellIs" dxfId="8966" priority="11172" stopIfTrue="1" operator="between">
      <formula>0</formula>
      <formula>0.375</formula>
    </cfRule>
  </conditionalFormatting>
  <conditionalFormatting sqref="R179 Y179 AF179 AH179:AI179">
    <cfRule type="cellIs" dxfId="8965" priority="11163" operator="between">
      <formula>0.76</formula>
      <formula>0.95</formula>
    </cfRule>
    <cfRule type="cellIs" dxfId="8964" priority="11164" operator="between">
      <formula>0.51</formula>
      <formula>0.75</formula>
    </cfRule>
    <cfRule type="cellIs" dxfId="8963" priority="11165" operator="greaterThan">
      <formula>1</formula>
    </cfRule>
    <cfRule type="cellIs" dxfId="8962" priority="11166" operator="between">
      <formula>0.95</formula>
      <formula>1</formula>
    </cfRule>
    <cfRule type="cellIs" dxfId="8961" priority="11167" stopIfTrue="1" operator="between">
      <formula>0</formula>
      <formula>0.5</formula>
    </cfRule>
  </conditionalFormatting>
  <conditionalFormatting sqref="T179">
    <cfRule type="cellIs" dxfId="8960" priority="11158" operator="between">
      <formula>0.3751</formula>
      <formula>0.475</formula>
    </cfRule>
    <cfRule type="cellIs" dxfId="8959" priority="11159" operator="between">
      <formula>0.2551</formula>
      <formula>0.375</formula>
    </cfRule>
    <cfRule type="cellIs" dxfId="8958" priority="11160" operator="greaterThan">
      <formula>0.505</formula>
    </cfRule>
    <cfRule type="cellIs" dxfId="8957" priority="11161" operator="between">
      <formula>0.48</formula>
      <formula>0.5</formula>
    </cfRule>
    <cfRule type="cellIs" dxfId="8956" priority="11162" stopIfTrue="1" operator="between">
      <formula>0</formula>
      <formula>0.255</formula>
    </cfRule>
  </conditionalFormatting>
  <conditionalFormatting sqref="AA179:AB179">
    <cfRule type="cellIs" dxfId="8955" priority="11153" operator="between">
      <formula>0.56251</formula>
      <formula>0.7125</formula>
    </cfRule>
    <cfRule type="cellIs" dxfId="8954" priority="11154" operator="between">
      <formula>0.3751</formula>
      <formula>0.5625</formula>
    </cfRule>
    <cfRule type="cellIs" dxfId="8953" priority="11155" operator="greaterThan">
      <formula>0.751</formula>
    </cfRule>
    <cfRule type="cellIs" dxfId="8952" priority="11156" operator="between">
      <formula>0.71251</formula>
      <formula>0.75</formula>
    </cfRule>
    <cfRule type="cellIs" dxfId="8951" priority="11157" stopIfTrue="1" operator="between">
      <formula>0</formula>
      <formula>0.375</formula>
    </cfRule>
  </conditionalFormatting>
  <conditionalFormatting sqref="U179">
    <cfRule type="cellIs" dxfId="8950" priority="11143" operator="between">
      <formula>0.376</formula>
      <formula>0.475</formula>
    </cfRule>
    <cfRule type="cellIs" dxfId="8949" priority="11144" operator="between">
      <formula>0.2551</formula>
      <formula>0.3751</formula>
    </cfRule>
    <cfRule type="cellIs" dxfId="8948" priority="11145" operator="greaterThan">
      <formula>0.505</formula>
    </cfRule>
    <cfRule type="cellIs" dxfId="8947" priority="11146" operator="between">
      <formula>0.48</formula>
      <formula>0.5</formula>
    </cfRule>
    <cfRule type="cellIs" dxfId="8946" priority="11147" stopIfTrue="1" operator="between">
      <formula>0</formula>
      <formula>0.255</formula>
    </cfRule>
  </conditionalFormatting>
  <conditionalFormatting sqref="S179">
    <cfRule type="cellIs" dxfId="8945" priority="11120" operator="between">
      <formula>0.76</formula>
      <formula>0.95</formula>
    </cfRule>
    <cfRule type="cellIs" dxfId="8944" priority="11121" operator="between">
      <formula>0.51</formula>
      <formula>0.75</formula>
    </cfRule>
    <cfRule type="cellIs" dxfId="8943" priority="11122" operator="greaterThan">
      <formula>1</formula>
    </cfRule>
    <cfRule type="cellIs" dxfId="8942" priority="11123" operator="between">
      <formula>0.95</formula>
      <formula>1</formula>
    </cfRule>
    <cfRule type="cellIs" dxfId="8941" priority="11124" stopIfTrue="1" operator="between">
      <formula>0</formula>
      <formula>0.5</formula>
    </cfRule>
  </conditionalFormatting>
  <conditionalFormatting sqref="V179">
    <cfRule type="cellIs" dxfId="8940" priority="11115" operator="between">
      <formula>0.376</formula>
      <formula>0.475</formula>
    </cfRule>
    <cfRule type="cellIs" dxfId="8939" priority="11116" operator="between">
      <formula>0.2551</formula>
      <formula>0.3751</formula>
    </cfRule>
    <cfRule type="cellIs" dxfId="8938" priority="11117" operator="greaterThan">
      <formula>0.505</formula>
    </cfRule>
    <cfRule type="cellIs" dxfId="8937" priority="11118" operator="between">
      <formula>0.48</formula>
      <formula>0.5</formula>
    </cfRule>
    <cfRule type="cellIs" dxfId="8936" priority="11119" stopIfTrue="1" operator="between">
      <formula>0</formula>
      <formula>0.255</formula>
    </cfRule>
  </conditionalFormatting>
  <conditionalFormatting sqref="AC179">
    <cfRule type="cellIs" dxfId="8935" priority="11110" operator="between">
      <formula>0.56251</formula>
      <formula>0.7125</formula>
    </cfRule>
    <cfRule type="cellIs" dxfId="8934" priority="11111" operator="between">
      <formula>0.3751</formula>
      <formula>0.5625</formula>
    </cfRule>
    <cfRule type="cellIs" dxfId="8933" priority="11112" operator="greaterThan">
      <formula>0.751</formula>
    </cfRule>
    <cfRule type="cellIs" dxfId="8932" priority="11113" operator="between">
      <formula>0.71251</formula>
      <formula>0.75</formula>
    </cfRule>
    <cfRule type="cellIs" dxfId="8931" priority="11114" stopIfTrue="1" operator="between">
      <formula>0</formula>
      <formula>0.375</formula>
    </cfRule>
  </conditionalFormatting>
  <conditionalFormatting sqref="R182 Y182 AF182 AH182:AI182">
    <cfRule type="cellIs" dxfId="8930" priority="11105" operator="between">
      <formula>0.76</formula>
      <formula>0.95</formula>
    </cfRule>
    <cfRule type="cellIs" dxfId="8929" priority="11106" operator="between">
      <formula>0.51</formula>
      <formula>0.75</formula>
    </cfRule>
    <cfRule type="cellIs" dxfId="8928" priority="11107" operator="greaterThan">
      <formula>1</formula>
    </cfRule>
    <cfRule type="cellIs" dxfId="8927" priority="11108" operator="between">
      <formula>0.95</formula>
      <formula>1</formula>
    </cfRule>
    <cfRule type="cellIs" dxfId="8926" priority="11109" stopIfTrue="1" operator="between">
      <formula>0</formula>
      <formula>0.5</formula>
    </cfRule>
  </conditionalFormatting>
  <conditionalFormatting sqref="T182">
    <cfRule type="cellIs" dxfId="8925" priority="11100" operator="between">
      <formula>0.3751</formula>
      <formula>0.475</formula>
    </cfRule>
    <cfRule type="cellIs" dxfId="8924" priority="11101" operator="between">
      <formula>0.2551</formula>
      <formula>0.375</formula>
    </cfRule>
    <cfRule type="cellIs" dxfId="8923" priority="11102" operator="greaterThan">
      <formula>0.505</formula>
    </cfRule>
    <cfRule type="cellIs" dxfId="8922" priority="11103" operator="between">
      <formula>0.48</formula>
      <formula>0.5</formula>
    </cfRule>
    <cfRule type="cellIs" dxfId="8921" priority="11104" stopIfTrue="1" operator="between">
      <formula>0</formula>
      <formula>0.255</formula>
    </cfRule>
  </conditionalFormatting>
  <conditionalFormatting sqref="AA182:AB182">
    <cfRule type="cellIs" dxfId="8920" priority="11095" operator="between">
      <formula>0.56251</formula>
      <formula>0.7125</formula>
    </cfRule>
    <cfRule type="cellIs" dxfId="8919" priority="11096" operator="between">
      <formula>0.3751</formula>
      <formula>0.5625</formula>
    </cfRule>
    <cfRule type="cellIs" dxfId="8918" priority="11097" operator="greaterThan">
      <formula>0.751</formula>
    </cfRule>
    <cfRule type="cellIs" dxfId="8917" priority="11098" operator="between">
      <formula>0.71251</formula>
      <formula>0.75</formula>
    </cfRule>
    <cfRule type="cellIs" dxfId="8916" priority="11099" stopIfTrue="1" operator="between">
      <formula>0</formula>
      <formula>0.375</formula>
    </cfRule>
  </conditionalFormatting>
  <conditionalFormatting sqref="U182">
    <cfRule type="cellIs" dxfId="8915" priority="11085" operator="between">
      <formula>0.376</formula>
      <formula>0.475</formula>
    </cfRule>
    <cfRule type="cellIs" dxfId="8914" priority="11086" operator="between">
      <formula>0.2551</formula>
      <formula>0.3751</formula>
    </cfRule>
    <cfRule type="cellIs" dxfId="8913" priority="11087" operator="greaterThan">
      <formula>0.505</formula>
    </cfRule>
    <cfRule type="cellIs" dxfId="8912" priority="11088" operator="between">
      <formula>0.48</formula>
      <formula>0.5</formula>
    </cfRule>
    <cfRule type="cellIs" dxfId="8911" priority="11089" stopIfTrue="1" operator="between">
      <formula>0</formula>
      <formula>0.255</formula>
    </cfRule>
  </conditionalFormatting>
  <conditionalFormatting sqref="V182">
    <cfRule type="cellIs" dxfId="8910" priority="11057" operator="between">
      <formula>0.376</formula>
      <formula>0.475</formula>
    </cfRule>
    <cfRule type="cellIs" dxfId="8909" priority="11058" operator="between">
      <formula>0.2551</formula>
      <formula>0.3751</formula>
    </cfRule>
    <cfRule type="cellIs" dxfId="8908" priority="11059" operator="greaterThan">
      <formula>0.505</formula>
    </cfRule>
    <cfRule type="cellIs" dxfId="8907" priority="11060" operator="between">
      <formula>0.48</formula>
      <formula>0.5</formula>
    </cfRule>
    <cfRule type="cellIs" dxfId="8906" priority="11061" stopIfTrue="1" operator="between">
      <formula>0</formula>
      <formula>0.255</formula>
    </cfRule>
  </conditionalFormatting>
  <conditionalFormatting sqref="AC182">
    <cfRule type="cellIs" dxfId="8905" priority="11052" operator="between">
      <formula>0.56251</formula>
      <formula>0.7125</formula>
    </cfRule>
    <cfRule type="cellIs" dxfId="8904" priority="11053" operator="between">
      <formula>0.3751</formula>
      <formula>0.5625</formula>
    </cfRule>
    <cfRule type="cellIs" dxfId="8903" priority="11054" operator="greaterThan">
      <formula>0.751</formula>
    </cfRule>
    <cfRule type="cellIs" dxfId="8902" priority="11055" operator="between">
      <formula>0.71251</formula>
      <formula>0.75</formula>
    </cfRule>
    <cfRule type="cellIs" dxfId="8901" priority="11056" stopIfTrue="1" operator="between">
      <formula>0</formula>
      <formula>0.375</formula>
    </cfRule>
  </conditionalFormatting>
  <conditionalFormatting sqref="S182">
    <cfRule type="cellIs" dxfId="8900" priority="11027" operator="between">
      <formula>0.76</formula>
      <formula>0.95</formula>
    </cfRule>
    <cfRule type="cellIs" dxfId="8899" priority="11028" operator="between">
      <formula>0.51</formula>
      <formula>0.75</formula>
    </cfRule>
    <cfRule type="cellIs" dxfId="8898" priority="11029" operator="greaterThan">
      <formula>1</formula>
    </cfRule>
    <cfRule type="cellIs" dxfId="8897" priority="11030" operator="between">
      <formula>0.95</formula>
      <formula>1</formula>
    </cfRule>
    <cfRule type="cellIs" dxfId="8896" priority="11031" stopIfTrue="1" operator="between">
      <formula>0</formula>
      <formula>0.5</formula>
    </cfRule>
  </conditionalFormatting>
  <conditionalFormatting sqref="Z179">
    <cfRule type="cellIs" dxfId="8895" priority="11022" operator="between">
      <formula>0.76</formula>
      <formula>0.95</formula>
    </cfRule>
    <cfRule type="cellIs" dxfId="8894" priority="11023" operator="between">
      <formula>0.51</formula>
      <formula>0.75</formula>
    </cfRule>
    <cfRule type="cellIs" dxfId="8893" priority="11024" operator="greaterThan">
      <formula>1</formula>
    </cfRule>
    <cfRule type="cellIs" dxfId="8892" priority="11025" operator="between">
      <formula>0.95</formula>
      <formula>1</formula>
    </cfRule>
    <cfRule type="cellIs" dxfId="8891" priority="11026" stopIfTrue="1" operator="between">
      <formula>0</formula>
      <formula>0.5</formula>
    </cfRule>
  </conditionalFormatting>
  <conditionalFormatting sqref="Z182">
    <cfRule type="cellIs" dxfId="8890" priority="11017" operator="between">
      <formula>0.76</formula>
      <formula>0.95</formula>
    </cfRule>
    <cfRule type="cellIs" dxfId="8889" priority="11018" operator="between">
      <formula>0.51</formula>
      <formula>0.75</formula>
    </cfRule>
    <cfRule type="cellIs" dxfId="8888" priority="11019" operator="greaterThan">
      <formula>1</formula>
    </cfRule>
    <cfRule type="cellIs" dxfId="8887" priority="11020" operator="between">
      <formula>0.95</formula>
      <formula>1</formula>
    </cfRule>
    <cfRule type="cellIs" dxfId="8886" priority="11021" stopIfTrue="1" operator="between">
      <formula>0</formula>
      <formula>0.5</formula>
    </cfRule>
  </conditionalFormatting>
  <conditionalFormatting sqref="AG179">
    <cfRule type="cellIs" dxfId="8885" priority="11012" operator="between">
      <formula>0.76</formula>
      <formula>0.95</formula>
    </cfRule>
    <cfRule type="cellIs" dxfId="8884" priority="11013" operator="between">
      <formula>0.51</formula>
      <formula>0.75</formula>
    </cfRule>
    <cfRule type="cellIs" dxfId="8883" priority="11014" operator="greaterThan">
      <formula>1</formula>
    </cfRule>
    <cfRule type="cellIs" dxfId="8882" priority="11015" operator="between">
      <formula>0.95</formula>
      <formula>1</formula>
    </cfRule>
    <cfRule type="cellIs" dxfId="8881" priority="11016" stopIfTrue="1" operator="between">
      <formula>0</formula>
      <formula>0.5</formula>
    </cfRule>
  </conditionalFormatting>
  <conditionalFormatting sqref="AG182">
    <cfRule type="cellIs" dxfId="8880" priority="11007" operator="between">
      <formula>0.76</formula>
      <formula>0.95</formula>
    </cfRule>
    <cfRule type="cellIs" dxfId="8879" priority="11008" operator="between">
      <formula>0.51</formula>
      <formula>0.75</formula>
    </cfRule>
    <cfRule type="cellIs" dxfId="8878" priority="11009" operator="greaterThan">
      <formula>1</formula>
    </cfRule>
    <cfRule type="cellIs" dxfId="8877" priority="11010" operator="between">
      <formula>0.95</formula>
      <formula>1</formula>
    </cfRule>
    <cfRule type="cellIs" dxfId="8876" priority="11011" stopIfTrue="1" operator="between">
      <formula>0</formula>
      <formula>0.5</formula>
    </cfRule>
  </conditionalFormatting>
  <conditionalFormatting sqref="R183:R190 Y183:Y190 AF183:AF190 AH183:AI190">
    <cfRule type="cellIs" dxfId="8875" priority="11002" operator="between">
      <formula>0.76</formula>
      <formula>0.95</formula>
    </cfRule>
    <cfRule type="cellIs" dxfId="8874" priority="11003" operator="between">
      <formula>0.51</formula>
      <formula>0.75</formula>
    </cfRule>
    <cfRule type="cellIs" dxfId="8873" priority="11004" operator="greaterThan">
      <formula>1</formula>
    </cfRule>
    <cfRule type="cellIs" dxfId="8872" priority="11005" operator="between">
      <formula>0.95</formula>
      <formula>1</formula>
    </cfRule>
    <cfRule type="cellIs" dxfId="8871" priority="11006" stopIfTrue="1" operator="between">
      <formula>0</formula>
      <formula>0.5</formula>
    </cfRule>
  </conditionalFormatting>
  <conditionalFormatting sqref="T183:T190">
    <cfRule type="cellIs" dxfId="8870" priority="10997" operator="between">
      <formula>0.3751</formula>
      <formula>0.475</formula>
    </cfRule>
    <cfRule type="cellIs" dxfId="8869" priority="10998" operator="between">
      <formula>0.2551</formula>
      <formula>0.375</formula>
    </cfRule>
    <cfRule type="cellIs" dxfId="8868" priority="10999" operator="greaterThan">
      <formula>0.505</formula>
    </cfRule>
    <cfRule type="cellIs" dxfId="8867" priority="11000" operator="between">
      <formula>0.48</formula>
      <formula>0.5</formula>
    </cfRule>
    <cfRule type="cellIs" dxfId="8866" priority="11001" stopIfTrue="1" operator="between">
      <formula>0</formula>
      <formula>0.255</formula>
    </cfRule>
  </conditionalFormatting>
  <conditionalFormatting sqref="AA183:AB190">
    <cfRule type="cellIs" dxfId="8865" priority="10992" operator="between">
      <formula>0.56251</formula>
      <formula>0.7125</formula>
    </cfRule>
    <cfRule type="cellIs" dxfId="8864" priority="10993" operator="between">
      <formula>0.3751</formula>
      <formula>0.5625</formula>
    </cfRule>
    <cfRule type="cellIs" dxfId="8863" priority="10994" operator="greaterThan">
      <formula>0.751</formula>
    </cfRule>
    <cfRule type="cellIs" dxfId="8862" priority="10995" operator="between">
      <formula>0.71251</formula>
      <formula>0.75</formula>
    </cfRule>
    <cfRule type="cellIs" dxfId="8861" priority="10996" stopIfTrue="1" operator="between">
      <formula>0</formula>
      <formula>0.375</formula>
    </cfRule>
  </conditionalFormatting>
  <conditionalFormatting sqref="U183:U190">
    <cfRule type="cellIs" dxfId="8860" priority="10982" operator="between">
      <formula>0.376</formula>
      <formula>0.475</formula>
    </cfRule>
    <cfRule type="cellIs" dxfId="8859" priority="10983" operator="between">
      <formula>0.2551</formula>
      <formula>0.3751</formula>
    </cfRule>
    <cfRule type="cellIs" dxfId="8858" priority="10984" operator="greaterThan">
      <formula>0.505</formula>
    </cfRule>
    <cfRule type="cellIs" dxfId="8857" priority="10985" operator="between">
      <formula>0.48</formula>
      <formula>0.5</formula>
    </cfRule>
    <cfRule type="cellIs" dxfId="8856" priority="10986" stopIfTrue="1" operator="between">
      <formula>0</formula>
      <formula>0.255</formula>
    </cfRule>
  </conditionalFormatting>
  <conditionalFormatting sqref="V183:V190">
    <cfRule type="cellIs" dxfId="8855" priority="10974" operator="between">
      <formula>0.376</formula>
      <formula>0.475</formula>
    </cfRule>
    <cfRule type="cellIs" dxfId="8854" priority="10975" operator="between">
      <formula>0.2551</formula>
      <formula>0.3751</formula>
    </cfRule>
    <cfRule type="cellIs" dxfId="8853" priority="10976" operator="greaterThan">
      <formula>0.505</formula>
    </cfRule>
    <cfRule type="cellIs" dxfId="8852" priority="10977" operator="between">
      <formula>0.48</formula>
      <formula>0.5</formula>
    </cfRule>
    <cfRule type="cellIs" dxfId="8851" priority="10978" stopIfTrue="1" operator="between">
      <formula>0</formula>
      <formula>0.255</formula>
    </cfRule>
  </conditionalFormatting>
  <conditionalFormatting sqref="AC183:AC190">
    <cfRule type="cellIs" dxfId="8850" priority="10969" operator="between">
      <formula>0.56251</formula>
      <formula>0.7125</formula>
    </cfRule>
    <cfRule type="cellIs" dxfId="8849" priority="10970" operator="between">
      <formula>0.3751</formula>
      <formula>0.5625</formula>
    </cfRule>
    <cfRule type="cellIs" dxfId="8848" priority="10971" operator="greaterThan">
      <formula>0.751</formula>
    </cfRule>
    <cfRule type="cellIs" dxfId="8847" priority="10972" operator="between">
      <formula>0.71251</formula>
      <formula>0.75</formula>
    </cfRule>
    <cfRule type="cellIs" dxfId="8846" priority="10973" stopIfTrue="1" operator="between">
      <formula>0</formula>
      <formula>0.375</formula>
    </cfRule>
  </conditionalFormatting>
  <conditionalFormatting sqref="S183:S190">
    <cfRule type="cellIs" dxfId="8845" priority="10949" operator="between">
      <formula>0.76</formula>
      <formula>0.95</formula>
    </cfRule>
    <cfRule type="cellIs" dxfId="8844" priority="10950" operator="between">
      <formula>0.51</formula>
      <formula>0.75</formula>
    </cfRule>
    <cfRule type="cellIs" dxfId="8843" priority="10951" operator="greaterThan">
      <formula>1</formula>
    </cfRule>
    <cfRule type="cellIs" dxfId="8842" priority="10952" operator="between">
      <formula>0.95</formula>
      <formula>1</formula>
    </cfRule>
    <cfRule type="cellIs" dxfId="8841" priority="10953" stopIfTrue="1" operator="between">
      <formula>0</formula>
      <formula>0.5</formula>
    </cfRule>
  </conditionalFormatting>
  <conditionalFormatting sqref="Z183:Z190">
    <cfRule type="cellIs" dxfId="8840" priority="10944" operator="between">
      <formula>0.76</formula>
      <formula>0.95</formula>
    </cfRule>
    <cfRule type="cellIs" dxfId="8839" priority="10945" operator="between">
      <formula>0.51</formula>
      <formula>0.75</formula>
    </cfRule>
    <cfRule type="cellIs" dxfId="8838" priority="10946" operator="greaterThan">
      <formula>1</formula>
    </cfRule>
    <cfRule type="cellIs" dxfId="8837" priority="10947" operator="between">
      <formula>0.95</formula>
      <formula>1</formula>
    </cfRule>
    <cfRule type="cellIs" dxfId="8836" priority="10948" stopIfTrue="1" operator="between">
      <formula>0</formula>
      <formula>0.5</formula>
    </cfRule>
  </conditionalFormatting>
  <conditionalFormatting sqref="AG183:AG190">
    <cfRule type="cellIs" dxfId="8835" priority="10939" operator="between">
      <formula>0.76</formula>
      <formula>0.95</formula>
    </cfRule>
    <cfRule type="cellIs" dxfId="8834" priority="10940" operator="between">
      <formula>0.51</formula>
      <formula>0.75</formula>
    </cfRule>
    <cfRule type="cellIs" dxfId="8833" priority="10941" operator="greaterThan">
      <formula>1</formula>
    </cfRule>
    <cfRule type="cellIs" dxfId="8832" priority="10942" operator="between">
      <formula>0.95</formula>
      <formula>1</formula>
    </cfRule>
    <cfRule type="cellIs" dxfId="8831" priority="10943" stopIfTrue="1" operator="between">
      <formula>0</formula>
      <formula>0.5</formula>
    </cfRule>
  </conditionalFormatting>
  <conditionalFormatting sqref="Y276 AF276 R276 AH276:AI276">
    <cfRule type="cellIs" dxfId="8830" priority="10934" operator="between">
      <formula>0.76</formula>
      <formula>0.95</formula>
    </cfRule>
    <cfRule type="cellIs" dxfId="8829" priority="10935" operator="between">
      <formula>0.51</formula>
      <formula>0.75</formula>
    </cfRule>
    <cfRule type="cellIs" dxfId="8828" priority="10936" operator="greaterThan">
      <formula>1</formula>
    </cfRule>
    <cfRule type="cellIs" dxfId="8827" priority="10937" operator="between">
      <formula>0.95</formula>
      <formula>1</formula>
    </cfRule>
    <cfRule type="cellIs" dxfId="8826" priority="10938" stopIfTrue="1" operator="between">
      <formula>0</formula>
      <formula>0.5</formula>
    </cfRule>
  </conditionalFormatting>
  <conditionalFormatting sqref="T276">
    <cfRule type="cellIs" dxfId="8825" priority="10929" operator="between">
      <formula>0.3751</formula>
      <formula>0.475</formula>
    </cfRule>
    <cfRule type="cellIs" dxfId="8824" priority="10930" operator="between">
      <formula>0.2551</formula>
      <formula>0.375</formula>
    </cfRule>
    <cfRule type="cellIs" dxfId="8823" priority="10931" operator="greaterThan">
      <formula>0.505</formula>
    </cfRule>
    <cfRule type="cellIs" dxfId="8822" priority="10932" operator="between">
      <formula>0.48</formula>
      <formula>0.5</formula>
    </cfRule>
    <cfRule type="cellIs" dxfId="8821" priority="10933" stopIfTrue="1" operator="between">
      <formula>0</formula>
      <formula>0.255</formula>
    </cfRule>
  </conditionalFormatting>
  <conditionalFormatting sqref="AA276:AB276">
    <cfRule type="cellIs" dxfId="8820" priority="10924" operator="between">
      <formula>0.56251</formula>
      <formula>0.7125</formula>
    </cfRule>
    <cfRule type="cellIs" dxfId="8819" priority="10925" operator="between">
      <formula>0.3751</formula>
      <formula>0.5625</formula>
    </cfRule>
    <cfRule type="cellIs" dxfId="8818" priority="10926" operator="greaterThan">
      <formula>0.751</formula>
    </cfRule>
    <cfRule type="cellIs" dxfId="8817" priority="10927" operator="between">
      <formula>0.71251</formula>
      <formula>0.75</formula>
    </cfRule>
    <cfRule type="cellIs" dxfId="8816" priority="10928" stopIfTrue="1" operator="between">
      <formula>0</formula>
      <formula>0.375</formula>
    </cfRule>
  </conditionalFormatting>
  <conditionalFormatting sqref="U276">
    <cfRule type="cellIs" dxfId="8815" priority="10914" operator="between">
      <formula>0.376</formula>
      <formula>0.475</formula>
    </cfRule>
    <cfRule type="cellIs" dxfId="8814" priority="10915" operator="between">
      <formula>0.2551</formula>
      <formula>0.3751</formula>
    </cfRule>
    <cfRule type="cellIs" dxfId="8813" priority="10916" operator="greaterThan">
      <formula>0.505</formula>
    </cfRule>
    <cfRule type="cellIs" dxfId="8812" priority="10917" operator="between">
      <formula>0.48</formula>
      <formula>0.5</formula>
    </cfRule>
    <cfRule type="cellIs" dxfId="8811" priority="10918" stopIfTrue="1" operator="between">
      <formula>0</formula>
      <formula>0.255</formula>
    </cfRule>
  </conditionalFormatting>
  <conditionalFormatting sqref="S126">
    <cfRule type="cellIs" dxfId="8810" priority="10520" operator="between">
      <formula>0.76</formula>
      <formula>0.95</formula>
    </cfRule>
    <cfRule type="cellIs" dxfId="8809" priority="10521" operator="between">
      <formula>0.51</formula>
      <formula>0.75</formula>
    </cfRule>
    <cfRule type="cellIs" dxfId="8808" priority="10522" operator="greaterThan">
      <formula>1</formula>
    </cfRule>
    <cfRule type="cellIs" dxfId="8807" priority="10523" operator="between">
      <formula>0.95</formula>
      <formula>1</formula>
    </cfRule>
    <cfRule type="cellIs" dxfId="8806" priority="10524" stopIfTrue="1" operator="between">
      <formula>0</formula>
      <formula>0.5</formula>
    </cfRule>
  </conditionalFormatting>
  <conditionalFormatting sqref="AC276">
    <cfRule type="cellIs" dxfId="8805" priority="10896" operator="between">
      <formula>0.56251</formula>
      <formula>0.7125</formula>
    </cfRule>
    <cfRule type="cellIs" dxfId="8804" priority="10897" operator="between">
      <formula>0.3751</formula>
      <formula>0.5625</formula>
    </cfRule>
    <cfRule type="cellIs" dxfId="8803" priority="10898" operator="greaterThan">
      <formula>0.751</formula>
    </cfRule>
    <cfRule type="cellIs" dxfId="8802" priority="10899" operator="between">
      <formula>0.71251</formula>
      <formula>0.75</formula>
    </cfRule>
    <cfRule type="cellIs" dxfId="8801" priority="10900" stopIfTrue="1" operator="between">
      <formula>0</formula>
      <formula>0.375</formula>
    </cfRule>
  </conditionalFormatting>
  <conditionalFormatting sqref="V276">
    <cfRule type="cellIs" dxfId="8800" priority="10881" operator="between">
      <formula>0.376</formula>
      <formula>0.475</formula>
    </cfRule>
    <cfRule type="cellIs" dxfId="8799" priority="10882" operator="between">
      <formula>0.2551</formula>
      <formula>0.3751</formula>
    </cfRule>
    <cfRule type="cellIs" dxfId="8798" priority="10883" operator="greaterThan">
      <formula>0.505</formula>
    </cfRule>
    <cfRule type="cellIs" dxfId="8797" priority="10884" operator="between">
      <formula>0.48</formula>
      <formula>0.5</formula>
    </cfRule>
    <cfRule type="cellIs" dxfId="8796" priority="10885" stopIfTrue="1" operator="between">
      <formula>0</formula>
      <formula>0.255</formula>
    </cfRule>
  </conditionalFormatting>
  <conditionalFormatting sqref="S276">
    <cfRule type="cellIs" dxfId="8795" priority="10876" operator="between">
      <formula>0.76</formula>
      <formula>0.95</formula>
    </cfRule>
    <cfRule type="cellIs" dxfId="8794" priority="10877" operator="between">
      <formula>0.51</formula>
      <formula>0.75</formula>
    </cfRule>
    <cfRule type="cellIs" dxfId="8793" priority="10878" operator="greaterThan">
      <formula>1</formula>
    </cfRule>
    <cfRule type="cellIs" dxfId="8792" priority="10879" operator="between">
      <formula>0.95</formula>
      <formula>1</formula>
    </cfRule>
    <cfRule type="cellIs" dxfId="8791" priority="10880" stopIfTrue="1" operator="between">
      <formula>0</formula>
      <formula>0.5</formula>
    </cfRule>
  </conditionalFormatting>
  <conditionalFormatting sqref="Z276">
    <cfRule type="cellIs" dxfId="8790" priority="10871" operator="between">
      <formula>0.76</formula>
      <formula>0.95</formula>
    </cfRule>
    <cfRule type="cellIs" dxfId="8789" priority="10872" operator="between">
      <formula>0.51</formula>
      <formula>0.75</formula>
    </cfRule>
    <cfRule type="cellIs" dxfId="8788" priority="10873" operator="greaterThan">
      <formula>1</formula>
    </cfRule>
    <cfRule type="cellIs" dxfId="8787" priority="10874" operator="between">
      <formula>0.95</formula>
      <formula>1</formula>
    </cfRule>
    <cfRule type="cellIs" dxfId="8786" priority="10875" stopIfTrue="1" operator="between">
      <formula>0</formula>
      <formula>0.5</formula>
    </cfRule>
  </conditionalFormatting>
  <conditionalFormatting sqref="AG265:AG266">
    <cfRule type="cellIs" dxfId="8785" priority="10866" operator="between">
      <formula>0.76</formula>
      <formula>0.95</formula>
    </cfRule>
    <cfRule type="cellIs" dxfId="8784" priority="10867" operator="between">
      <formula>0.51</formula>
      <formula>0.75</formula>
    </cfRule>
    <cfRule type="cellIs" dxfId="8783" priority="10868" operator="greaterThan">
      <formula>1</formula>
    </cfRule>
    <cfRule type="cellIs" dxfId="8782" priority="10869" operator="between">
      <formula>0.95</formula>
      <formula>1</formula>
    </cfRule>
    <cfRule type="cellIs" dxfId="8781" priority="10870" stopIfTrue="1" operator="between">
      <formula>0</formula>
      <formula>0.5</formula>
    </cfRule>
  </conditionalFormatting>
  <conditionalFormatting sqref="AG268:AG270">
    <cfRule type="cellIs" dxfId="8780" priority="10861" operator="between">
      <formula>0.76</formula>
      <formula>0.95</formula>
    </cfRule>
    <cfRule type="cellIs" dxfId="8779" priority="10862" operator="between">
      <formula>0.51</formula>
      <formula>0.75</formula>
    </cfRule>
    <cfRule type="cellIs" dxfId="8778" priority="10863" operator="greaterThan">
      <formula>1</formula>
    </cfRule>
    <cfRule type="cellIs" dxfId="8777" priority="10864" operator="between">
      <formula>0.95</formula>
      <formula>1</formula>
    </cfRule>
    <cfRule type="cellIs" dxfId="8776" priority="10865" stopIfTrue="1" operator="between">
      <formula>0</formula>
      <formula>0.5</formula>
    </cfRule>
  </conditionalFormatting>
  <conditionalFormatting sqref="AG276">
    <cfRule type="cellIs" dxfId="8775" priority="10856" operator="between">
      <formula>0.76</formula>
      <formula>0.95</formula>
    </cfRule>
    <cfRule type="cellIs" dxfId="8774" priority="10857" operator="between">
      <formula>0.51</formula>
      <formula>0.75</formula>
    </cfRule>
    <cfRule type="cellIs" dxfId="8773" priority="10858" operator="greaterThan">
      <formula>1</formula>
    </cfRule>
    <cfRule type="cellIs" dxfId="8772" priority="10859" operator="between">
      <formula>0.95</formula>
      <formula>1</formula>
    </cfRule>
    <cfRule type="cellIs" dxfId="8771" priority="10860" stopIfTrue="1" operator="between">
      <formula>0</formula>
      <formula>0.5</formula>
    </cfRule>
  </conditionalFormatting>
  <conditionalFormatting sqref="Y277 AF277 R277 AH277:AI277">
    <cfRule type="cellIs" dxfId="8770" priority="10851" operator="between">
      <formula>0.76</formula>
      <formula>0.95</formula>
    </cfRule>
    <cfRule type="cellIs" dxfId="8769" priority="10852" operator="between">
      <formula>0.51</formula>
      <formula>0.75</formula>
    </cfRule>
    <cfRule type="cellIs" dxfId="8768" priority="10853" operator="greaterThan">
      <formula>1</formula>
    </cfRule>
    <cfRule type="cellIs" dxfId="8767" priority="10854" operator="between">
      <formula>0.95</formula>
      <formula>1</formula>
    </cfRule>
    <cfRule type="cellIs" dxfId="8766" priority="10855" stopIfTrue="1" operator="between">
      <formula>0</formula>
      <formula>0.5</formula>
    </cfRule>
  </conditionalFormatting>
  <conditionalFormatting sqref="T277">
    <cfRule type="cellIs" dxfId="8765" priority="10846" operator="between">
      <formula>0.3751</formula>
      <formula>0.475</formula>
    </cfRule>
    <cfRule type="cellIs" dxfId="8764" priority="10847" operator="between">
      <formula>0.2551</formula>
      <formula>0.375</formula>
    </cfRule>
    <cfRule type="cellIs" dxfId="8763" priority="10848" operator="greaterThan">
      <formula>0.505</formula>
    </cfRule>
    <cfRule type="cellIs" dxfId="8762" priority="10849" operator="between">
      <formula>0.48</formula>
      <formula>0.5</formula>
    </cfRule>
    <cfRule type="cellIs" dxfId="8761" priority="10850" stopIfTrue="1" operator="between">
      <formula>0</formula>
      <formula>0.255</formula>
    </cfRule>
  </conditionalFormatting>
  <conditionalFormatting sqref="AA277:AB277">
    <cfRule type="cellIs" dxfId="8760" priority="10841" operator="between">
      <formula>0.56251</formula>
      <formula>0.7125</formula>
    </cfRule>
    <cfRule type="cellIs" dxfId="8759" priority="10842" operator="between">
      <formula>0.3751</formula>
      <formula>0.5625</formula>
    </cfRule>
    <cfRule type="cellIs" dxfId="8758" priority="10843" operator="greaterThan">
      <formula>0.751</formula>
    </cfRule>
    <cfRule type="cellIs" dxfId="8757" priority="10844" operator="between">
      <formula>0.71251</formula>
      <formula>0.75</formula>
    </cfRule>
    <cfRule type="cellIs" dxfId="8756" priority="10845" stopIfTrue="1" operator="between">
      <formula>0</formula>
      <formula>0.375</formula>
    </cfRule>
  </conditionalFormatting>
  <conditionalFormatting sqref="U277">
    <cfRule type="cellIs" dxfId="8755" priority="10831" operator="between">
      <formula>0.376</formula>
      <formula>0.475</formula>
    </cfRule>
    <cfRule type="cellIs" dxfId="8754" priority="10832" operator="between">
      <formula>0.2551</formula>
      <formula>0.3751</formula>
    </cfRule>
    <cfRule type="cellIs" dxfId="8753" priority="10833" operator="greaterThan">
      <formula>0.505</formula>
    </cfRule>
    <cfRule type="cellIs" dxfId="8752" priority="10834" operator="between">
      <formula>0.48</formula>
      <formula>0.5</formula>
    </cfRule>
    <cfRule type="cellIs" dxfId="8751" priority="10835" stopIfTrue="1" operator="between">
      <formula>0</formula>
      <formula>0.255</formula>
    </cfRule>
  </conditionalFormatting>
  <conditionalFormatting sqref="AC277">
    <cfRule type="cellIs" dxfId="8750" priority="10823" operator="between">
      <formula>0.56251</formula>
      <formula>0.7125</formula>
    </cfRule>
    <cfRule type="cellIs" dxfId="8749" priority="10824" operator="between">
      <formula>0.3751</formula>
      <formula>0.5625</formula>
    </cfRule>
    <cfRule type="cellIs" dxfId="8748" priority="10825" operator="greaterThan">
      <formula>0.751</formula>
    </cfRule>
    <cfRule type="cellIs" dxfId="8747" priority="10826" operator="between">
      <formula>0.71251</formula>
      <formula>0.75</formula>
    </cfRule>
    <cfRule type="cellIs" dxfId="8746" priority="10827" stopIfTrue="1" operator="between">
      <formula>0</formula>
      <formula>0.375</formula>
    </cfRule>
  </conditionalFormatting>
  <conditionalFormatting sqref="V277">
    <cfRule type="cellIs" dxfId="8745" priority="10808" operator="between">
      <formula>0.376</formula>
      <formula>0.475</formula>
    </cfRule>
    <cfRule type="cellIs" dxfId="8744" priority="10809" operator="between">
      <formula>0.2551</formula>
      <formula>0.3751</formula>
    </cfRule>
    <cfRule type="cellIs" dxfId="8743" priority="10810" operator="greaterThan">
      <formula>0.505</formula>
    </cfRule>
    <cfRule type="cellIs" dxfId="8742" priority="10811" operator="between">
      <formula>0.48</formula>
      <formula>0.5</formula>
    </cfRule>
    <cfRule type="cellIs" dxfId="8741" priority="10812" stopIfTrue="1" operator="between">
      <formula>0</formula>
      <formula>0.255</formula>
    </cfRule>
  </conditionalFormatting>
  <conditionalFormatting sqref="S277">
    <cfRule type="cellIs" dxfId="8740" priority="10803" operator="between">
      <formula>0.76</formula>
      <formula>0.95</formula>
    </cfRule>
    <cfRule type="cellIs" dxfId="8739" priority="10804" operator="between">
      <formula>0.51</formula>
      <formula>0.75</formula>
    </cfRule>
    <cfRule type="cellIs" dxfId="8738" priority="10805" operator="greaterThan">
      <formula>1</formula>
    </cfRule>
    <cfRule type="cellIs" dxfId="8737" priority="10806" operator="between">
      <formula>0.95</formula>
      <formula>1</formula>
    </cfRule>
    <cfRule type="cellIs" dxfId="8736" priority="10807" stopIfTrue="1" operator="between">
      <formula>0</formula>
      <formula>0.5</formula>
    </cfRule>
  </conditionalFormatting>
  <conditionalFormatting sqref="Z277">
    <cfRule type="cellIs" dxfId="8735" priority="10798" operator="between">
      <formula>0.76</formula>
      <formula>0.95</formula>
    </cfRule>
    <cfRule type="cellIs" dxfId="8734" priority="10799" operator="between">
      <formula>0.51</formula>
      <formula>0.75</formula>
    </cfRule>
    <cfRule type="cellIs" dxfId="8733" priority="10800" operator="greaterThan">
      <formula>1</formula>
    </cfRule>
    <cfRule type="cellIs" dxfId="8732" priority="10801" operator="between">
      <formula>0.95</formula>
      <formula>1</formula>
    </cfRule>
    <cfRule type="cellIs" dxfId="8731" priority="10802" stopIfTrue="1" operator="between">
      <formula>0</formula>
      <formula>0.5</formula>
    </cfRule>
  </conditionalFormatting>
  <conditionalFormatting sqref="AG277">
    <cfRule type="cellIs" dxfId="8730" priority="10793" operator="between">
      <formula>0.76</formula>
      <formula>0.95</formula>
    </cfRule>
    <cfRule type="cellIs" dxfId="8729" priority="10794" operator="between">
      <formula>0.51</formula>
      <formula>0.75</formula>
    </cfRule>
    <cfRule type="cellIs" dxfId="8728" priority="10795" operator="greaterThan">
      <formula>1</formula>
    </cfRule>
    <cfRule type="cellIs" dxfId="8727" priority="10796" operator="between">
      <formula>0.95</formula>
      <formula>1</formula>
    </cfRule>
    <cfRule type="cellIs" dxfId="8726" priority="10797" stopIfTrue="1" operator="between">
      <formula>0</formula>
      <formula>0.5</formula>
    </cfRule>
  </conditionalFormatting>
  <conditionalFormatting sqref="Y278:Y279 AF278:AF279 R278:R279 AH278:AI279 AH282:AI282 R282 AF282 Y282">
    <cfRule type="cellIs" dxfId="8725" priority="10778" operator="between">
      <formula>0.76</formula>
      <formula>0.95</formula>
    </cfRule>
    <cfRule type="cellIs" dxfId="8724" priority="10779" operator="between">
      <formula>0.51</formula>
      <formula>0.75</formula>
    </cfRule>
    <cfRule type="cellIs" dxfId="8723" priority="10780" operator="greaterThan">
      <formula>1</formula>
    </cfRule>
    <cfRule type="cellIs" dxfId="8722" priority="10781" operator="between">
      <formula>0.95</formula>
      <formula>1</formula>
    </cfRule>
    <cfRule type="cellIs" dxfId="8721" priority="10782" stopIfTrue="1" operator="between">
      <formula>0</formula>
      <formula>0.5</formula>
    </cfRule>
  </conditionalFormatting>
  <conditionalFormatting sqref="T278:T279 T282">
    <cfRule type="cellIs" dxfId="8720" priority="10773" operator="between">
      <formula>0.3751</formula>
      <formula>0.475</formula>
    </cfRule>
    <cfRule type="cellIs" dxfId="8719" priority="10774" operator="between">
      <formula>0.2551</formula>
      <formula>0.375</formula>
    </cfRule>
    <cfRule type="cellIs" dxfId="8718" priority="10775" operator="greaterThan">
      <formula>0.505</formula>
    </cfRule>
    <cfRule type="cellIs" dxfId="8717" priority="10776" operator="between">
      <formula>0.48</formula>
      <formula>0.5</formula>
    </cfRule>
    <cfRule type="cellIs" dxfId="8716" priority="10777" stopIfTrue="1" operator="between">
      <formula>0</formula>
      <formula>0.255</formula>
    </cfRule>
  </conditionalFormatting>
  <conditionalFormatting sqref="AA278:AB279 AA282:AB282">
    <cfRule type="cellIs" dxfId="8715" priority="10768" operator="between">
      <formula>0.56251</formula>
      <formula>0.7125</formula>
    </cfRule>
    <cfRule type="cellIs" dxfId="8714" priority="10769" operator="between">
      <formula>0.3751</formula>
      <formula>0.5625</formula>
    </cfRule>
    <cfRule type="cellIs" dxfId="8713" priority="10770" operator="greaterThan">
      <formula>0.751</formula>
    </cfRule>
    <cfRule type="cellIs" dxfId="8712" priority="10771" operator="between">
      <formula>0.71251</formula>
      <formula>0.75</formula>
    </cfRule>
    <cfRule type="cellIs" dxfId="8711" priority="10772" stopIfTrue="1" operator="between">
      <formula>0</formula>
      <formula>0.375</formula>
    </cfRule>
  </conditionalFormatting>
  <conditionalFormatting sqref="U278:U279 U282">
    <cfRule type="cellIs" dxfId="8710" priority="10758" operator="between">
      <formula>0.376</formula>
      <formula>0.475</formula>
    </cfRule>
    <cfRule type="cellIs" dxfId="8709" priority="10759" operator="between">
      <formula>0.2551</formula>
      <formula>0.3751</formula>
    </cfRule>
    <cfRule type="cellIs" dxfId="8708" priority="10760" operator="greaterThan">
      <formula>0.505</formula>
    </cfRule>
    <cfRule type="cellIs" dxfId="8707" priority="10761" operator="between">
      <formula>0.48</formula>
      <formula>0.5</formula>
    </cfRule>
    <cfRule type="cellIs" dxfId="8706" priority="10762" stopIfTrue="1" operator="between">
      <formula>0</formula>
      <formula>0.255</formula>
    </cfRule>
  </conditionalFormatting>
  <conditionalFormatting sqref="AC278:AC279 AC282">
    <cfRule type="cellIs" dxfId="8705" priority="10750" operator="between">
      <formula>0.56251</formula>
      <formula>0.7125</formula>
    </cfRule>
    <cfRule type="cellIs" dxfId="8704" priority="10751" operator="between">
      <formula>0.3751</formula>
      <formula>0.5625</formula>
    </cfRule>
    <cfRule type="cellIs" dxfId="8703" priority="10752" operator="greaterThan">
      <formula>0.751</formula>
    </cfRule>
    <cfRule type="cellIs" dxfId="8702" priority="10753" operator="between">
      <formula>0.71251</formula>
      <formula>0.75</formula>
    </cfRule>
    <cfRule type="cellIs" dxfId="8701" priority="10754" stopIfTrue="1" operator="between">
      <formula>0</formula>
      <formula>0.375</formula>
    </cfRule>
  </conditionalFormatting>
  <conditionalFormatting sqref="V278:V279 V282">
    <cfRule type="cellIs" dxfId="8700" priority="10745" operator="between">
      <formula>0.376</formula>
      <formula>0.475</formula>
    </cfRule>
    <cfRule type="cellIs" dxfId="8699" priority="10746" operator="between">
      <formula>0.2551</formula>
      <formula>0.3751</formula>
    </cfRule>
    <cfRule type="cellIs" dxfId="8698" priority="10747" operator="greaterThan">
      <formula>0.505</formula>
    </cfRule>
    <cfRule type="cellIs" dxfId="8697" priority="10748" operator="between">
      <formula>0.48</formula>
      <formula>0.5</formula>
    </cfRule>
    <cfRule type="cellIs" dxfId="8696" priority="10749" stopIfTrue="1" operator="between">
      <formula>0</formula>
      <formula>0.255</formula>
    </cfRule>
  </conditionalFormatting>
  <conditionalFormatting sqref="S278:S279 S282">
    <cfRule type="cellIs" dxfId="8695" priority="10740" operator="between">
      <formula>0.76</formula>
      <formula>0.95</formula>
    </cfRule>
    <cfRule type="cellIs" dxfId="8694" priority="10741" operator="between">
      <formula>0.51</formula>
      <formula>0.75</formula>
    </cfRule>
    <cfRule type="cellIs" dxfId="8693" priority="10742" operator="greaterThan">
      <formula>1</formula>
    </cfRule>
    <cfRule type="cellIs" dxfId="8692" priority="10743" operator="between">
      <formula>0.95</formula>
      <formula>1</formula>
    </cfRule>
    <cfRule type="cellIs" dxfId="8691" priority="10744" stopIfTrue="1" operator="between">
      <formula>0</formula>
      <formula>0.5</formula>
    </cfRule>
  </conditionalFormatting>
  <conditionalFormatting sqref="Z278:Z279 Z282">
    <cfRule type="cellIs" dxfId="8690" priority="10735" operator="between">
      <formula>0.76</formula>
      <formula>0.95</formula>
    </cfRule>
    <cfRule type="cellIs" dxfId="8689" priority="10736" operator="between">
      <formula>0.51</formula>
      <formula>0.75</formula>
    </cfRule>
    <cfRule type="cellIs" dxfId="8688" priority="10737" operator="greaterThan">
      <formula>1</formula>
    </cfRule>
    <cfRule type="cellIs" dxfId="8687" priority="10738" operator="between">
      <formula>0.95</formula>
      <formula>1</formula>
    </cfRule>
    <cfRule type="cellIs" dxfId="8686" priority="10739" stopIfTrue="1" operator="between">
      <formula>0</formula>
      <formula>0.5</formula>
    </cfRule>
  </conditionalFormatting>
  <conditionalFormatting sqref="AG278:AG279 AG282">
    <cfRule type="cellIs" dxfId="8685" priority="10730" operator="between">
      <formula>0.76</formula>
      <formula>0.95</formula>
    </cfRule>
    <cfRule type="cellIs" dxfId="8684" priority="10731" operator="between">
      <formula>0.51</formula>
      <formula>0.75</formula>
    </cfRule>
    <cfRule type="cellIs" dxfId="8683" priority="10732" operator="greaterThan">
      <formula>1</formula>
    </cfRule>
    <cfRule type="cellIs" dxfId="8682" priority="10733" operator="between">
      <formula>0.95</formula>
      <formula>1</formula>
    </cfRule>
    <cfRule type="cellIs" dxfId="8681" priority="10734" stopIfTrue="1" operator="between">
      <formula>0</formula>
      <formula>0.5</formula>
    </cfRule>
  </conditionalFormatting>
  <conditionalFormatting sqref="Z124">
    <cfRule type="cellIs" dxfId="8680" priority="10650" operator="between">
      <formula>0.76</formula>
      <formula>0.95</formula>
    </cfRule>
    <cfRule type="cellIs" dxfId="8679" priority="10651" operator="between">
      <formula>0.51</formula>
      <formula>0.75</formula>
    </cfRule>
    <cfRule type="cellIs" dxfId="8678" priority="10652" operator="greaterThan">
      <formula>1</formula>
    </cfRule>
    <cfRule type="cellIs" dxfId="8677" priority="10653" operator="between">
      <formula>0.95</formula>
      <formula>1</formula>
    </cfRule>
    <cfRule type="cellIs" dxfId="8676" priority="10654" stopIfTrue="1" operator="between">
      <formula>0</formula>
      <formula>0.5</formula>
    </cfRule>
  </conditionalFormatting>
  <conditionalFormatting sqref="AF124 R124 Y124 AH124:AI124">
    <cfRule type="cellIs" dxfId="8675" priority="10715" operator="between">
      <formula>0.76</formula>
      <formula>0.95</formula>
    </cfRule>
    <cfRule type="cellIs" dxfId="8674" priority="10716" operator="between">
      <formula>0.51</formula>
      <formula>0.75</formula>
    </cfRule>
    <cfRule type="cellIs" dxfId="8673" priority="10717" operator="greaterThan">
      <formula>1</formula>
    </cfRule>
    <cfRule type="cellIs" dxfId="8672" priority="10718" operator="between">
      <formula>0.95</formula>
      <formula>1</formula>
    </cfRule>
    <cfRule type="cellIs" dxfId="8671" priority="10719" stopIfTrue="1" operator="between">
      <formula>0</formula>
      <formula>0.5</formula>
    </cfRule>
  </conditionalFormatting>
  <conditionalFormatting sqref="T124">
    <cfRule type="cellIs" dxfId="8670" priority="10710" operator="between">
      <formula>0.3751</formula>
      <formula>0.475</formula>
    </cfRule>
    <cfRule type="cellIs" dxfId="8669" priority="10711" operator="between">
      <formula>0.2551</formula>
      <formula>0.375</formula>
    </cfRule>
    <cfRule type="cellIs" dxfId="8668" priority="10712" operator="greaterThan">
      <formula>0.505</formula>
    </cfRule>
    <cfRule type="cellIs" dxfId="8667" priority="10713" operator="between">
      <formula>0.48</formula>
      <formula>0.5</formula>
    </cfRule>
    <cfRule type="cellIs" dxfId="8666" priority="10714" stopIfTrue="1" operator="between">
      <formula>0</formula>
      <formula>0.255</formula>
    </cfRule>
  </conditionalFormatting>
  <conditionalFormatting sqref="AA124:AB124">
    <cfRule type="cellIs" dxfId="8665" priority="10705" operator="between">
      <formula>0.56251</formula>
      <formula>0.7125</formula>
    </cfRule>
    <cfRule type="cellIs" dxfId="8664" priority="10706" operator="between">
      <formula>0.3751</formula>
      <formula>0.5625</formula>
    </cfRule>
    <cfRule type="cellIs" dxfId="8663" priority="10707" operator="greaterThan">
      <formula>0.751</formula>
    </cfRule>
    <cfRule type="cellIs" dxfId="8662" priority="10708" operator="between">
      <formula>0.71251</formula>
      <formula>0.75</formula>
    </cfRule>
    <cfRule type="cellIs" dxfId="8661" priority="10709" stopIfTrue="1" operator="between">
      <formula>0</formula>
      <formula>0.375</formula>
    </cfRule>
  </conditionalFormatting>
  <conditionalFormatting sqref="U124">
    <cfRule type="cellIs" dxfId="8660" priority="10695" operator="between">
      <formula>0.376</formula>
      <formula>0.475</formula>
    </cfRule>
    <cfRule type="cellIs" dxfId="8659" priority="10696" operator="between">
      <formula>0.2551</formula>
      <formula>0.3751</formula>
    </cfRule>
    <cfRule type="cellIs" dxfId="8658" priority="10697" operator="greaterThan">
      <formula>0.505</formula>
    </cfRule>
    <cfRule type="cellIs" dxfId="8657" priority="10698" operator="between">
      <formula>0.48</formula>
      <formula>0.5</formula>
    </cfRule>
    <cfRule type="cellIs" dxfId="8656" priority="10699" stopIfTrue="1" operator="between">
      <formula>0</formula>
      <formula>0.255</formula>
    </cfRule>
  </conditionalFormatting>
  <conditionalFormatting sqref="S124">
    <cfRule type="cellIs" dxfId="8655" priority="10670" operator="between">
      <formula>0.76</formula>
      <formula>0.95</formula>
    </cfRule>
    <cfRule type="cellIs" dxfId="8654" priority="10671" operator="between">
      <formula>0.51</formula>
      <formula>0.75</formula>
    </cfRule>
    <cfRule type="cellIs" dxfId="8653" priority="10672" operator="greaterThan">
      <formula>1</formula>
    </cfRule>
    <cfRule type="cellIs" dxfId="8652" priority="10673" operator="between">
      <formula>0.95</formula>
      <formula>1</formula>
    </cfRule>
    <cfRule type="cellIs" dxfId="8651" priority="10674" stopIfTrue="1" operator="between">
      <formula>0</formula>
      <formula>0.5</formula>
    </cfRule>
  </conditionalFormatting>
  <conditionalFormatting sqref="V124">
    <cfRule type="cellIs" dxfId="8650" priority="10675" operator="between">
      <formula>0.376</formula>
      <formula>0.475</formula>
    </cfRule>
    <cfRule type="cellIs" dxfId="8649" priority="10676" operator="between">
      <formula>0.2551</formula>
      <formula>0.3751</formula>
    </cfRule>
    <cfRule type="cellIs" dxfId="8648" priority="10677" operator="greaterThan">
      <formula>0.505</formula>
    </cfRule>
    <cfRule type="cellIs" dxfId="8647" priority="10678" operator="between">
      <formula>0.48</formula>
      <formula>0.5</formula>
    </cfRule>
    <cfRule type="cellIs" dxfId="8646" priority="10679" stopIfTrue="1" operator="between">
      <formula>0</formula>
      <formula>0.255</formula>
    </cfRule>
  </conditionalFormatting>
  <conditionalFormatting sqref="AC124">
    <cfRule type="cellIs" dxfId="8645" priority="10665" operator="between">
      <formula>0.56251</formula>
      <formula>0.7125</formula>
    </cfRule>
    <cfRule type="cellIs" dxfId="8644" priority="10666" operator="between">
      <formula>0.3751</formula>
      <formula>0.5625</formula>
    </cfRule>
    <cfRule type="cellIs" dxfId="8643" priority="10667" operator="greaterThan">
      <formula>0.751</formula>
    </cfRule>
    <cfRule type="cellIs" dxfId="8642" priority="10668" operator="between">
      <formula>0.71251</formula>
      <formula>0.75</formula>
    </cfRule>
    <cfRule type="cellIs" dxfId="8641" priority="10669" stopIfTrue="1" operator="between">
      <formula>0</formula>
      <formula>0.375</formula>
    </cfRule>
  </conditionalFormatting>
  <conditionalFormatting sqref="AG124">
    <cfRule type="cellIs" dxfId="8640" priority="10645" operator="between">
      <formula>0.76</formula>
      <formula>0.95</formula>
    </cfRule>
    <cfRule type="cellIs" dxfId="8639" priority="10646" operator="between">
      <formula>0.51</formula>
      <formula>0.75</formula>
    </cfRule>
    <cfRule type="cellIs" dxfId="8638" priority="10647" operator="greaterThan">
      <formula>1</formula>
    </cfRule>
    <cfRule type="cellIs" dxfId="8637" priority="10648" operator="between">
      <formula>0.95</formula>
      <formula>1</formula>
    </cfRule>
    <cfRule type="cellIs" dxfId="8636" priority="10649" stopIfTrue="1" operator="between">
      <formula>0</formula>
      <formula>0.5</formula>
    </cfRule>
  </conditionalFormatting>
  <conditionalFormatting sqref="Z125">
    <cfRule type="cellIs" dxfId="8635" priority="10575" operator="between">
      <formula>0.76</formula>
      <formula>0.95</formula>
    </cfRule>
    <cfRule type="cellIs" dxfId="8634" priority="10576" operator="between">
      <formula>0.51</formula>
      <formula>0.75</formula>
    </cfRule>
    <cfRule type="cellIs" dxfId="8633" priority="10577" operator="greaterThan">
      <formula>1</formula>
    </cfRule>
    <cfRule type="cellIs" dxfId="8632" priority="10578" operator="between">
      <formula>0.95</formula>
      <formula>1</formula>
    </cfRule>
    <cfRule type="cellIs" dxfId="8631" priority="10579" stopIfTrue="1" operator="between">
      <formula>0</formula>
      <formula>0.5</formula>
    </cfRule>
  </conditionalFormatting>
  <conditionalFormatting sqref="AF125 R125 Y125 AH125:AI125">
    <cfRule type="cellIs" dxfId="8630" priority="10640" operator="between">
      <formula>0.76</formula>
      <formula>0.95</formula>
    </cfRule>
    <cfRule type="cellIs" dxfId="8629" priority="10641" operator="between">
      <formula>0.51</formula>
      <formula>0.75</formula>
    </cfRule>
    <cfRule type="cellIs" dxfId="8628" priority="10642" operator="greaterThan">
      <formula>1</formula>
    </cfRule>
    <cfRule type="cellIs" dxfId="8627" priority="10643" operator="between">
      <formula>0.95</formula>
      <formula>1</formula>
    </cfRule>
    <cfRule type="cellIs" dxfId="8626" priority="10644" stopIfTrue="1" operator="between">
      <formula>0</formula>
      <formula>0.5</formula>
    </cfRule>
  </conditionalFormatting>
  <conditionalFormatting sqref="T125">
    <cfRule type="cellIs" dxfId="8625" priority="10635" operator="between">
      <formula>0.3751</formula>
      <formula>0.475</formula>
    </cfRule>
    <cfRule type="cellIs" dxfId="8624" priority="10636" operator="between">
      <formula>0.2551</formula>
      <formula>0.375</formula>
    </cfRule>
    <cfRule type="cellIs" dxfId="8623" priority="10637" operator="greaterThan">
      <formula>0.505</formula>
    </cfRule>
    <cfRule type="cellIs" dxfId="8622" priority="10638" operator="between">
      <formula>0.48</formula>
      <formula>0.5</formula>
    </cfRule>
    <cfRule type="cellIs" dxfId="8621" priority="10639" stopIfTrue="1" operator="between">
      <formula>0</formula>
      <formula>0.255</formula>
    </cfRule>
  </conditionalFormatting>
  <conditionalFormatting sqref="AA125:AB125">
    <cfRule type="cellIs" dxfId="8620" priority="10630" operator="between">
      <formula>0.56251</formula>
      <formula>0.7125</formula>
    </cfRule>
    <cfRule type="cellIs" dxfId="8619" priority="10631" operator="between">
      <formula>0.3751</formula>
      <formula>0.5625</formula>
    </cfRule>
    <cfRule type="cellIs" dxfId="8618" priority="10632" operator="greaterThan">
      <formula>0.751</formula>
    </cfRule>
    <cfRule type="cellIs" dxfId="8617" priority="10633" operator="between">
      <formula>0.71251</formula>
      <formula>0.75</formula>
    </cfRule>
    <cfRule type="cellIs" dxfId="8616" priority="10634" stopIfTrue="1" operator="between">
      <formula>0</formula>
      <formula>0.375</formula>
    </cfRule>
  </conditionalFormatting>
  <conditionalFormatting sqref="U125">
    <cfRule type="cellIs" dxfId="8615" priority="10620" operator="between">
      <formula>0.376</formula>
      <formula>0.475</formula>
    </cfRule>
    <cfRule type="cellIs" dxfId="8614" priority="10621" operator="between">
      <formula>0.2551</formula>
      <formula>0.3751</formula>
    </cfRule>
    <cfRule type="cellIs" dxfId="8613" priority="10622" operator="greaterThan">
      <formula>0.505</formula>
    </cfRule>
    <cfRule type="cellIs" dxfId="8612" priority="10623" operator="between">
      <formula>0.48</formula>
      <formula>0.5</formula>
    </cfRule>
    <cfRule type="cellIs" dxfId="8611" priority="10624" stopIfTrue="1" operator="between">
      <formula>0</formula>
      <formula>0.255</formula>
    </cfRule>
  </conditionalFormatting>
  <conditionalFormatting sqref="S125">
    <cfRule type="cellIs" dxfId="8610" priority="10595" operator="between">
      <formula>0.76</formula>
      <formula>0.95</formula>
    </cfRule>
    <cfRule type="cellIs" dxfId="8609" priority="10596" operator="between">
      <formula>0.51</formula>
      <formula>0.75</formula>
    </cfRule>
    <cfRule type="cellIs" dxfId="8608" priority="10597" operator="greaterThan">
      <formula>1</formula>
    </cfRule>
    <cfRule type="cellIs" dxfId="8607" priority="10598" operator="between">
      <formula>0.95</formula>
      <formula>1</formula>
    </cfRule>
    <cfRule type="cellIs" dxfId="8606" priority="10599" stopIfTrue="1" operator="between">
      <formula>0</formula>
      <formula>0.5</formula>
    </cfRule>
  </conditionalFormatting>
  <conditionalFormatting sqref="V125">
    <cfRule type="cellIs" dxfId="8605" priority="10600" operator="between">
      <formula>0.376</formula>
      <formula>0.475</formula>
    </cfRule>
    <cfRule type="cellIs" dxfId="8604" priority="10601" operator="between">
      <formula>0.2551</formula>
      <formula>0.3751</formula>
    </cfRule>
    <cfRule type="cellIs" dxfId="8603" priority="10602" operator="greaterThan">
      <formula>0.505</formula>
    </cfRule>
    <cfRule type="cellIs" dxfId="8602" priority="10603" operator="between">
      <formula>0.48</formula>
      <formula>0.5</formula>
    </cfRule>
    <cfRule type="cellIs" dxfId="8601" priority="10604" stopIfTrue="1" operator="between">
      <formula>0</formula>
      <formula>0.255</formula>
    </cfRule>
  </conditionalFormatting>
  <conditionalFormatting sqref="AC125">
    <cfRule type="cellIs" dxfId="8600" priority="10590" operator="between">
      <formula>0.56251</formula>
      <formula>0.7125</formula>
    </cfRule>
    <cfRule type="cellIs" dxfId="8599" priority="10591" operator="between">
      <formula>0.3751</formula>
      <formula>0.5625</formula>
    </cfRule>
    <cfRule type="cellIs" dxfId="8598" priority="10592" operator="greaterThan">
      <formula>0.751</formula>
    </cfRule>
    <cfRule type="cellIs" dxfId="8597" priority="10593" operator="between">
      <formula>0.71251</formula>
      <formula>0.75</formula>
    </cfRule>
    <cfRule type="cellIs" dxfId="8596" priority="10594" stopIfTrue="1" operator="between">
      <formula>0</formula>
      <formula>0.375</formula>
    </cfRule>
  </conditionalFormatting>
  <conditionalFormatting sqref="AG125">
    <cfRule type="cellIs" dxfId="8595" priority="10570" operator="between">
      <formula>0.76</formula>
      <formula>0.95</formula>
    </cfRule>
    <cfRule type="cellIs" dxfId="8594" priority="10571" operator="between">
      <formula>0.51</formula>
      <formula>0.75</formula>
    </cfRule>
    <cfRule type="cellIs" dxfId="8593" priority="10572" operator="greaterThan">
      <formula>1</formula>
    </cfRule>
    <cfRule type="cellIs" dxfId="8592" priority="10573" operator="between">
      <formula>0.95</formula>
      <formula>1</formula>
    </cfRule>
    <cfRule type="cellIs" dxfId="8591" priority="10574" stopIfTrue="1" operator="between">
      <formula>0</formula>
      <formula>0.5</formula>
    </cfRule>
  </conditionalFormatting>
  <conditionalFormatting sqref="Z126">
    <cfRule type="cellIs" dxfId="8590" priority="10500" operator="between">
      <formula>0.76</formula>
      <formula>0.95</formula>
    </cfRule>
    <cfRule type="cellIs" dxfId="8589" priority="10501" operator="between">
      <formula>0.51</formula>
      <formula>0.75</formula>
    </cfRule>
    <cfRule type="cellIs" dxfId="8588" priority="10502" operator="greaterThan">
      <formula>1</formula>
    </cfRule>
    <cfRule type="cellIs" dxfId="8587" priority="10503" operator="between">
      <formula>0.95</formula>
      <formula>1</formula>
    </cfRule>
    <cfRule type="cellIs" dxfId="8586" priority="10504" stopIfTrue="1" operator="between">
      <formula>0</formula>
      <formula>0.5</formula>
    </cfRule>
  </conditionalFormatting>
  <conditionalFormatting sqref="AF126 R126 Y126 AH126:AI126">
    <cfRule type="cellIs" dxfId="8585" priority="10565" operator="between">
      <formula>0.76</formula>
      <formula>0.95</formula>
    </cfRule>
    <cfRule type="cellIs" dxfId="8584" priority="10566" operator="between">
      <formula>0.51</formula>
      <formula>0.75</formula>
    </cfRule>
    <cfRule type="cellIs" dxfId="8583" priority="10567" operator="greaterThan">
      <formula>1</formula>
    </cfRule>
    <cfRule type="cellIs" dxfId="8582" priority="10568" operator="between">
      <formula>0.95</formula>
      <formula>1</formula>
    </cfRule>
    <cfRule type="cellIs" dxfId="8581" priority="10569" stopIfTrue="1" operator="between">
      <formula>0</formula>
      <formula>0.5</formula>
    </cfRule>
  </conditionalFormatting>
  <conditionalFormatting sqref="T126">
    <cfRule type="cellIs" dxfId="8580" priority="10560" operator="between">
      <formula>0.3751</formula>
      <formula>0.475</formula>
    </cfRule>
    <cfRule type="cellIs" dxfId="8579" priority="10561" operator="between">
      <formula>0.2551</formula>
      <formula>0.375</formula>
    </cfRule>
    <cfRule type="cellIs" dxfId="8578" priority="10562" operator="greaterThan">
      <formula>0.505</formula>
    </cfRule>
    <cfRule type="cellIs" dxfId="8577" priority="10563" operator="between">
      <formula>0.48</formula>
      <formula>0.5</formula>
    </cfRule>
    <cfRule type="cellIs" dxfId="8576" priority="10564" stopIfTrue="1" operator="between">
      <formula>0</formula>
      <formula>0.255</formula>
    </cfRule>
  </conditionalFormatting>
  <conditionalFormatting sqref="AA126:AB126">
    <cfRule type="cellIs" dxfId="8575" priority="10555" operator="between">
      <formula>0.56251</formula>
      <formula>0.7125</formula>
    </cfRule>
    <cfRule type="cellIs" dxfId="8574" priority="10556" operator="between">
      <formula>0.3751</formula>
      <formula>0.5625</formula>
    </cfRule>
    <cfRule type="cellIs" dxfId="8573" priority="10557" operator="greaterThan">
      <formula>0.751</formula>
    </cfRule>
    <cfRule type="cellIs" dxfId="8572" priority="10558" operator="between">
      <formula>0.71251</formula>
      <formula>0.75</formula>
    </cfRule>
    <cfRule type="cellIs" dxfId="8571" priority="10559" stopIfTrue="1" operator="between">
      <formula>0</formula>
      <formula>0.375</formula>
    </cfRule>
  </conditionalFormatting>
  <conditionalFormatting sqref="U126">
    <cfRule type="cellIs" dxfId="8570" priority="10545" operator="between">
      <formula>0.376</formula>
      <formula>0.475</formula>
    </cfRule>
    <cfRule type="cellIs" dxfId="8569" priority="10546" operator="between">
      <formula>0.2551</formula>
      <formula>0.3751</formula>
    </cfRule>
    <cfRule type="cellIs" dxfId="8568" priority="10547" operator="greaterThan">
      <formula>0.505</formula>
    </cfRule>
    <cfRule type="cellIs" dxfId="8567" priority="10548" operator="between">
      <formula>0.48</formula>
      <formula>0.5</formula>
    </cfRule>
    <cfRule type="cellIs" dxfId="8566" priority="10549" stopIfTrue="1" operator="between">
      <formula>0</formula>
      <formula>0.255</formula>
    </cfRule>
  </conditionalFormatting>
  <conditionalFormatting sqref="V126">
    <cfRule type="cellIs" dxfId="8565" priority="10525" operator="between">
      <formula>0.376</formula>
      <formula>0.475</formula>
    </cfRule>
    <cfRule type="cellIs" dxfId="8564" priority="10526" operator="between">
      <formula>0.2551</formula>
      <formula>0.3751</formula>
    </cfRule>
    <cfRule type="cellIs" dxfId="8563" priority="10527" operator="greaterThan">
      <formula>0.505</formula>
    </cfRule>
    <cfRule type="cellIs" dxfId="8562" priority="10528" operator="between">
      <formula>0.48</formula>
      <formula>0.5</formula>
    </cfRule>
    <cfRule type="cellIs" dxfId="8561" priority="10529" stopIfTrue="1" operator="between">
      <formula>0</formula>
      <formula>0.255</formula>
    </cfRule>
  </conditionalFormatting>
  <conditionalFormatting sqref="AC126">
    <cfRule type="cellIs" dxfId="8560" priority="10515" operator="between">
      <formula>0.56251</formula>
      <formula>0.7125</formula>
    </cfRule>
    <cfRule type="cellIs" dxfId="8559" priority="10516" operator="between">
      <formula>0.3751</formula>
      <formula>0.5625</formula>
    </cfRule>
    <cfRule type="cellIs" dxfId="8558" priority="10517" operator="greaterThan">
      <formula>0.751</formula>
    </cfRule>
    <cfRule type="cellIs" dxfId="8557" priority="10518" operator="between">
      <formula>0.71251</formula>
      <formula>0.75</formula>
    </cfRule>
    <cfRule type="cellIs" dxfId="8556" priority="10519" stopIfTrue="1" operator="between">
      <formula>0</formula>
      <formula>0.375</formula>
    </cfRule>
  </conditionalFormatting>
  <conditionalFormatting sqref="AG126">
    <cfRule type="cellIs" dxfId="8555" priority="10495" operator="between">
      <formula>0.76</formula>
      <formula>0.95</formula>
    </cfRule>
    <cfRule type="cellIs" dxfId="8554" priority="10496" operator="between">
      <formula>0.51</formula>
      <formula>0.75</formula>
    </cfRule>
    <cfRule type="cellIs" dxfId="8553" priority="10497" operator="greaterThan">
      <formula>1</formula>
    </cfRule>
    <cfRule type="cellIs" dxfId="8552" priority="10498" operator="between">
      <formula>0.95</formula>
      <formula>1</formula>
    </cfRule>
    <cfRule type="cellIs" dxfId="8551" priority="10499" stopIfTrue="1" operator="between">
      <formula>0</formula>
      <formula>0.5</formula>
    </cfRule>
  </conditionalFormatting>
  <conditionalFormatting sqref="Z127">
    <cfRule type="cellIs" dxfId="8550" priority="10425" operator="between">
      <formula>0.76</formula>
      <formula>0.95</formula>
    </cfRule>
    <cfRule type="cellIs" dxfId="8549" priority="10426" operator="between">
      <formula>0.51</formula>
      <formula>0.75</formula>
    </cfRule>
    <cfRule type="cellIs" dxfId="8548" priority="10427" operator="greaterThan">
      <formula>1</formula>
    </cfRule>
    <cfRule type="cellIs" dxfId="8547" priority="10428" operator="between">
      <formula>0.95</formula>
      <formula>1</formula>
    </cfRule>
    <cfRule type="cellIs" dxfId="8546" priority="10429" stopIfTrue="1" operator="between">
      <formula>0</formula>
      <formula>0.5</formula>
    </cfRule>
  </conditionalFormatting>
  <conditionalFormatting sqref="AF127 R127 Y127 AH127:AI127">
    <cfRule type="cellIs" dxfId="8545" priority="10490" operator="between">
      <formula>0.76</formula>
      <formula>0.95</formula>
    </cfRule>
    <cfRule type="cellIs" dxfId="8544" priority="10491" operator="between">
      <formula>0.51</formula>
      <formula>0.75</formula>
    </cfRule>
    <cfRule type="cellIs" dxfId="8543" priority="10492" operator="greaterThan">
      <formula>1</formula>
    </cfRule>
    <cfRule type="cellIs" dxfId="8542" priority="10493" operator="between">
      <formula>0.95</formula>
      <formula>1</formula>
    </cfRule>
    <cfRule type="cellIs" dxfId="8541" priority="10494" stopIfTrue="1" operator="between">
      <formula>0</formula>
      <formula>0.5</formula>
    </cfRule>
  </conditionalFormatting>
  <conditionalFormatting sqref="T127">
    <cfRule type="cellIs" dxfId="8540" priority="10485" operator="between">
      <formula>0.3751</formula>
      <formula>0.475</formula>
    </cfRule>
    <cfRule type="cellIs" dxfId="8539" priority="10486" operator="between">
      <formula>0.2551</formula>
      <formula>0.375</formula>
    </cfRule>
    <cfRule type="cellIs" dxfId="8538" priority="10487" operator="greaterThan">
      <formula>0.505</formula>
    </cfRule>
    <cfRule type="cellIs" dxfId="8537" priority="10488" operator="between">
      <formula>0.48</formula>
      <formula>0.5</formula>
    </cfRule>
    <cfRule type="cellIs" dxfId="8536" priority="10489" stopIfTrue="1" operator="between">
      <formula>0</formula>
      <formula>0.255</formula>
    </cfRule>
  </conditionalFormatting>
  <conditionalFormatting sqref="AA127:AB127">
    <cfRule type="cellIs" dxfId="8535" priority="10480" operator="between">
      <formula>0.56251</formula>
      <formula>0.7125</formula>
    </cfRule>
    <cfRule type="cellIs" dxfId="8534" priority="10481" operator="between">
      <formula>0.3751</formula>
      <formula>0.5625</formula>
    </cfRule>
    <cfRule type="cellIs" dxfId="8533" priority="10482" operator="greaterThan">
      <formula>0.751</formula>
    </cfRule>
    <cfRule type="cellIs" dxfId="8532" priority="10483" operator="between">
      <formula>0.71251</formula>
      <formula>0.75</formula>
    </cfRule>
    <cfRule type="cellIs" dxfId="8531" priority="10484" stopIfTrue="1" operator="between">
      <formula>0</formula>
      <formula>0.375</formula>
    </cfRule>
  </conditionalFormatting>
  <conditionalFormatting sqref="U127">
    <cfRule type="cellIs" dxfId="8530" priority="10470" operator="between">
      <formula>0.376</formula>
      <formula>0.475</formula>
    </cfRule>
    <cfRule type="cellIs" dxfId="8529" priority="10471" operator="between">
      <formula>0.2551</formula>
      <formula>0.3751</formula>
    </cfRule>
    <cfRule type="cellIs" dxfId="8528" priority="10472" operator="greaterThan">
      <formula>0.505</formula>
    </cfRule>
    <cfRule type="cellIs" dxfId="8527" priority="10473" operator="between">
      <formula>0.48</formula>
      <formula>0.5</formula>
    </cfRule>
    <cfRule type="cellIs" dxfId="8526" priority="10474" stopIfTrue="1" operator="between">
      <formula>0</formula>
      <formula>0.255</formula>
    </cfRule>
  </conditionalFormatting>
  <conditionalFormatting sqref="S127">
    <cfRule type="cellIs" dxfId="8525" priority="10445" operator="between">
      <formula>0.76</formula>
      <formula>0.95</formula>
    </cfRule>
    <cfRule type="cellIs" dxfId="8524" priority="10446" operator="between">
      <formula>0.51</formula>
      <formula>0.75</formula>
    </cfRule>
    <cfRule type="cellIs" dxfId="8523" priority="10447" operator="greaterThan">
      <formula>1</formula>
    </cfRule>
    <cfRule type="cellIs" dxfId="8522" priority="10448" operator="between">
      <formula>0.95</formula>
      <formula>1</formula>
    </cfRule>
    <cfRule type="cellIs" dxfId="8521" priority="10449" stopIfTrue="1" operator="between">
      <formula>0</formula>
      <formula>0.5</formula>
    </cfRule>
  </conditionalFormatting>
  <conditionalFormatting sqref="V127">
    <cfRule type="cellIs" dxfId="8520" priority="10450" operator="between">
      <formula>0.376</formula>
      <formula>0.475</formula>
    </cfRule>
    <cfRule type="cellIs" dxfId="8519" priority="10451" operator="between">
      <formula>0.2551</formula>
      <formula>0.3751</formula>
    </cfRule>
    <cfRule type="cellIs" dxfId="8518" priority="10452" operator="greaterThan">
      <formula>0.505</formula>
    </cfRule>
    <cfRule type="cellIs" dxfId="8517" priority="10453" operator="between">
      <formula>0.48</formula>
      <formula>0.5</formula>
    </cfRule>
    <cfRule type="cellIs" dxfId="8516" priority="10454" stopIfTrue="1" operator="between">
      <formula>0</formula>
      <formula>0.255</formula>
    </cfRule>
  </conditionalFormatting>
  <conditionalFormatting sqref="AC127">
    <cfRule type="cellIs" dxfId="8515" priority="10440" operator="between">
      <formula>0.56251</formula>
      <formula>0.7125</formula>
    </cfRule>
    <cfRule type="cellIs" dxfId="8514" priority="10441" operator="between">
      <formula>0.3751</formula>
      <formula>0.5625</formula>
    </cfRule>
    <cfRule type="cellIs" dxfId="8513" priority="10442" operator="greaterThan">
      <formula>0.751</formula>
    </cfRule>
    <cfRule type="cellIs" dxfId="8512" priority="10443" operator="between">
      <formula>0.71251</formula>
      <formula>0.75</formula>
    </cfRule>
    <cfRule type="cellIs" dxfId="8511" priority="10444" stopIfTrue="1" operator="between">
      <formula>0</formula>
      <formula>0.375</formula>
    </cfRule>
  </conditionalFormatting>
  <conditionalFormatting sqref="AG127">
    <cfRule type="cellIs" dxfId="8510" priority="10420" operator="between">
      <formula>0.76</formula>
      <formula>0.95</formula>
    </cfRule>
    <cfRule type="cellIs" dxfId="8509" priority="10421" operator="between">
      <formula>0.51</formula>
      <formula>0.75</formula>
    </cfRule>
    <cfRule type="cellIs" dxfId="8508" priority="10422" operator="greaterThan">
      <formula>1</formula>
    </cfRule>
    <cfRule type="cellIs" dxfId="8507" priority="10423" operator="between">
      <formula>0.95</formula>
      <formula>1</formula>
    </cfRule>
    <cfRule type="cellIs" dxfId="8506" priority="10424" stopIfTrue="1" operator="between">
      <formula>0</formula>
      <formula>0.5</formula>
    </cfRule>
  </conditionalFormatting>
  <conditionalFormatting sqref="Z128">
    <cfRule type="cellIs" dxfId="8505" priority="10350" operator="between">
      <formula>0.76</formula>
      <formula>0.95</formula>
    </cfRule>
    <cfRule type="cellIs" dxfId="8504" priority="10351" operator="between">
      <formula>0.51</formula>
      <formula>0.75</formula>
    </cfRule>
    <cfRule type="cellIs" dxfId="8503" priority="10352" operator="greaterThan">
      <formula>1</formula>
    </cfRule>
    <cfRule type="cellIs" dxfId="8502" priority="10353" operator="between">
      <formula>0.95</formula>
      <formula>1</formula>
    </cfRule>
    <cfRule type="cellIs" dxfId="8501" priority="10354" stopIfTrue="1" operator="between">
      <formula>0</formula>
      <formula>0.5</formula>
    </cfRule>
  </conditionalFormatting>
  <conditionalFormatting sqref="AF128 R128 Y128 AH128:AI128">
    <cfRule type="cellIs" dxfId="8500" priority="10415" operator="between">
      <formula>0.76</formula>
      <formula>0.95</formula>
    </cfRule>
    <cfRule type="cellIs" dxfId="8499" priority="10416" operator="between">
      <formula>0.51</formula>
      <formula>0.75</formula>
    </cfRule>
    <cfRule type="cellIs" dxfId="8498" priority="10417" operator="greaterThan">
      <formula>1</formula>
    </cfRule>
    <cfRule type="cellIs" dxfId="8497" priority="10418" operator="between">
      <formula>0.95</formula>
      <formula>1</formula>
    </cfRule>
    <cfRule type="cellIs" dxfId="8496" priority="10419" stopIfTrue="1" operator="between">
      <formula>0</formula>
      <formula>0.5</formula>
    </cfRule>
  </conditionalFormatting>
  <conditionalFormatting sqref="T128">
    <cfRule type="cellIs" dxfId="8495" priority="10410" operator="between">
      <formula>0.3751</formula>
      <formula>0.475</formula>
    </cfRule>
    <cfRule type="cellIs" dxfId="8494" priority="10411" operator="between">
      <formula>0.2551</formula>
      <formula>0.375</formula>
    </cfRule>
    <cfRule type="cellIs" dxfId="8493" priority="10412" operator="greaterThan">
      <formula>0.505</formula>
    </cfRule>
    <cfRule type="cellIs" dxfId="8492" priority="10413" operator="between">
      <formula>0.48</formula>
      <formula>0.5</formula>
    </cfRule>
    <cfRule type="cellIs" dxfId="8491" priority="10414" stopIfTrue="1" operator="between">
      <formula>0</formula>
      <formula>0.255</formula>
    </cfRule>
  </conditionalFormatting>
  <conditionalFormatting sqref="AA128:AB128">
    <cfRule type="cellIs" dxfId="8490" priority="10405" operator="between">
      <formula>0.56251</formula>
      <formula>0.7125</formula>
    </cfRule>
    <cfRule type="cellIs" dxfId="8489" priority="10406" operator="between">
      <formula>0.3751</formula>
      <formula>0.5625</formula>
    </cfRule>
    <cfRule type="cellIs" dxfId="8488" priority="10407" operator="greaterThan">
      <formula>0.751</formula>
    </cfRule>
    <cfRule type="cellIs" dxfId="8487" priority="10408" operator="between">
      <formula>0.71251</formula>
      <formula>0.75</formula>
    </cfRule>
    <cfRule type="cellIs" dxfId="8486" priority="10409" stopIfTrue="1" operator="between">
      <formula>0</formula>
      <formula>0.375</formula>
    </cfRule>
  </conditionalFormatting>
  <conditionalFormatting sqref="U128">
    <cfRule type="cellIs" dxfId="8485" priority="10395" operator="between">
      <formula>0.376</formula>
      <formula>0.475</formula>
    </cfRule>
    <cfRule type="cellIs" dxfId="8484" priority="10396" operator="between">
      <formula>0.2551</formula>
      <formula>0.3751</formula>
    </cfRule>
    <cfRule type="cellIs" dxfId="8483" priority="10397" operator="greaterThan">
      <formula>0.505</formula>
    </cfRule>
    <cfRule type="cellIs" dxfId="8482" priority="10398" operator="between">
      <formula>0.48</formula>
      <formula>0.5</formula>
    </cfRule>
    <cfRule type="cellIs" dxfId="8481" priority="10399" stopIfTrue="1" operator="between">
      <formula>0</formula>
      <formula>0.255</formula>
    </cfRule>
  </conditionalFormatting>
  <conditionalFormatting sqref="S128">
    <cfRule type="cellIs" dxfId="8480" priority="10370" operator="between">
      <formula>0.76</formula>
      <formula>0.95</formula>
    </cfRule>
    <cfRule type="cellIs" dxfId="8479" priority="10371" operator="between">
      <formula>0.51</formula>
      <formula>0.75</formula>
    </cfRule>
    <cfRule type="cellIs" dxfId="8478" priority="10372" operator="greaterThan">
      <formula>1</formula>
    </cfRule>
    <cfRule type="cellIs" dxfId="8477" priority="10373" operator="between">
      <formula>0.95</formula>
      <formula>1</formula>
    </cfRule>
    <cfRule type="cellIs" dxfId="8476" priority="10374" stopIfTrue="1" operator="between">
      <formula>0</formula>
      <formula>0.5</formula>
    </cfRule>
  </conditionalFormatting>
  <conditionalFormatting sqref="V128">
    <cfRule type="cellIs" dxfId="8475" priority="10375" operator="between">
      <formula>0.376</formula>
      <formula>0.475</formula>
    </cfRule>
    <cfRule type="cellIs" dxfId="8474" priority="10376" operator="between">
      <formula>0.2551</formula>
      <formula>0.3751</formula>
    </cfRule>
    <cfRule type="cellIs" dxfId="8473" priority="10377" operator="greaterThan">
      <formula>0.505</formula>
    </cfRule>
    <cfRule type="cellIs" dxfId="8472" priority="10378" operator="between">
      <formula>0.48</formula>
      <formula>0.5</formula>
    </cfRule>
    <cfRule type="cellIs" dxfId="8471" priority="10379" stopIfTrue="1" operator="between">
      <formula>0</formula>
      <formula>0.255</formula>
    </cfRule>
  </conditionalFormatting>
  <conditionalFormatting sqref="AC128">
    <cfRule type="cellIs" dxfId="8470" priority="10365" operator="between">
      <formula>0.56251</formula>
      <formula>0.7125</formula>
    </cfRule>
    <cfRule type="cellIs" dxfId="8469" priority="10366" operator="between">
      <formula>0.3751</formula>
      <formula>0.5625</formula>
    </cfRule>
    <cfRule type="cellIs" dxfId="8468" priority="10367" operator="greaterThan">
      <formula>0.751</formula>
    </cfRule>
    <cfRule type="cellIs" dxfId="8467" priority="10368" operator="between">
      <formula>0.71251</formula>
      <formula>0.75</formula>
    </cfRule>
    <cfRule type="cellIs" dxfId="8466" priority="10369" stopIfTrue="1" operator="between">
      <formula>0</formula>
      <formula>0.375</formula>
    </cfRule>
  </conditionalFormatting>
  <conditionalFormatting sqref="AG128">
    <cfRule type="cellIs" dxfId="8465" priority="10345" operator="between">
      <formula>0.76</formula>
      <formula>0.95</formula>
    </cfRule>
    <cfRule type="cellIs" dxfId="8464" priority="10346" operator="between">
      <formula>0.51</formula>
      <formula>0.75</formula>
    </cfRule>
    <cfRule type="cellIs" dxfId="8463" priority="10347" operator="greaterThan">
      <formula>1</formula>
    </cfRule>
    <cfRule type="cellIs" dxfId="8462" priority="10348" operator="between">
      <formula>0.95</formula>
      <formula>1</formula>
    </cfRule>
    <cfRule type="cellIs" dxfId="8461" priority="10349" stopIfTrue="1" operator="between">
      <formula>0</formula>
      <formula>0.5</formula>
    </cfRule>
  </conditionalFormatting>
  <conditionalFormatting sqref="Z129">
    <cfRule type="cellIs" dxfId="8460" priority="10275" operator="between">
      <formula>0.76</formula>
      <formula>0.95</formula>
    </cfRule>
    <cfRule type="cellIs" dxfId="8459" priority="10276" operator="between">
      <formula>0.51</formula>
      <formula>0.75</formula>
    </cfRule>
    <cfRule type="cellIs" dxfId="8458" priority="10277" operator="greaterThan">
      <formula>1</formula>
    </cfRule>
    <cfRule type="cellIs" dxfId="8457" priority="10278" operator="between">
      <formula>0.95</formula>
      <formula>1</formula>
    </cfRule>
    <cfRule type="cellIs" dxfId="8456" priority="10279" stopIfTrue="1" operator="between">
      <formula>0</formula>
      <formula>0.5</formula>
    </cfRule>
  </conditionalFormatting>
  <conditionalFormatting sqref="AF129 K129 R129 Y129 AH129:AI129">
    <cfRule type="cellIs" dxfId="8455" priority="10340" operator="between">
      <formula>0.76</formula>
      <formula>0.95</formula>
    </cfRule>
    <cfRule type="cellIs" dxfId="8454" priority="10341" operator="between">
      <formula>0.51</formula>
      <formula>0.75</formula>
    </cfRule>
    <cfRule type="cellIs" dxfId="8453" priority="10342" operator="greaterThan">
      <formula>1</formula>
    </cfRule>
    <cfRule type="cellIs" dxfId="8452" priority="10343" operator="between">
      <formula>0.95</formula>
      <formula>1</formula>
    </cfRule>
    <cfRule type="cellIs" dxfId="8451" priority="10344" stopIfTrue="1" operator="between">
      <formula>0</formula>
      <formula>0.5</formula>
    </cfRule>
  </conditionalFormatting>
  <conditionalFormatting sqref="T129">
    <cfRule type="cellIs" dxfId="8450" priority="10335" operator="between">
      <formula>0.3751</formula>
      <formula>0.475</formula>
    </cfRule>
    <cfRule type="cellIs" dxfId="8449" priority="10336" operator="between">
      <formula>0.2551</formula>
      <formula>0.375</formula>
    </cfRule>
    <cfRule type="cellIs" dxfId="8448" priority="10337" operator="greaterThan">
      <formula>0.505</formula>
    </cfRule>
    <cfRule type="cellIs" dxfId="8447" priority="10338" operator="between">
      <formula>0.48</formula>
      <formula>0.5</formula>
    </cfRule>
    <cfRule type="cellIs" dxfId="8446" priority="10339" stopIfTrue="1" operator="between">
      <formula>0</formula>
      <formula>0.255</formula>
    </cfRule>
  </conditionalFormatting>
  <conditionalFormatting sqref="AA129:AB129">
    <cfRule type="cellIs" dxfId="8445" priority="10330" operator="between">
      <formula>0.56251</formula>
      <formula>0.7125</formula>
    </cfRule>
    <cfRule type="cellIs" dxfId="8444" priority="10331" operator="between">
      <formula>0.3751</formula>
      <formula>0.5625</formula>
    </cfRule>
    <cfRule type="cellIs" dxfId="8443" priority="10332" operator="greaterThan">
      <formula>0.751</formula>
    </cfRule>
    <cfRule type="cellIs" dxfId="8442" priority="10333" operator="between">
      <formula>0.71251</formula>
      <formula>0.75</formula>
    </cfRule>
    <cfRule type="cellIs" dxfId="8441" priority="10334" stopIfTrue="1" operator="between">
      <formula>0</formula>
      <formula>0.375</formula>
    </cfRule>
  </conditionalFormatting>
  <conditionalFormatting sqref="U129">
    <cfRule type="cellIs" dxfId="8440" priority="10320" operator="between">
      <formula>0.376</formula>
      <formula>0.475</formula>
    </cfRule>
    <cfRule type="cellIs" dxfId="8439" priority="10321" operator="between">
      <formula>0.2551</formula>
      <formula>0.3751</formula>
    </cfRule>
    <cfRule type="cellIs" dxfId="8438" priority="10322" operator="greaterThan">
      <formula>0.505</formula>
    </cfRule>
    <cfRule type="cellIs" dxfId="8437" priority="10323" operator="between">
      <formula>0.48</formula>
      <formula>0.5</formula>
    </cfRule>
    <cfRule type="cellIs" dxfId="8436" priority="10324" stopIfTrue="1" operator="between">
      <formula>0</formula>
      <formula>0.255</formula>
    </cfRule>
  </conditionalFormatting>
  <conditionalFormatting sqref="S129">
    <cfRule type="cellIs" dxfId="8435" priority="10295" operator="between">
      <formula>0.76</formula>
      <formula>0.95</formula>
    </cfRule>
    <cfRule type="cellIs" dxfId="8434" priority="10296" operator="between">
      <formula>0.51</formula>
      <formula>0.75</formula>
    </cfRule>
    <cfRule type="cellIs" dxfId="8433" priority="10297" operator="greaterThan">
      <formula>1</formula>
    </cfRule>
    <cfRule type="cellIs" dxfId="8432" priority="10298" operator="between">
      <formula>0.95</formula>
      <formula>1</formula>
    </cfRule>
    <cfRule type="cellIs" dxfId="8431" priority="10299" stopIfTrue="1" operator="between">
      <formula>0</formula>
      <formula>0.5</formula>
    </cfRule>
  </conditionalFormatting>
  <conditionalFormatting sqref="V129">
    <cfRule type="cellIs" dxfId="8430" priority="10300" operator="between">
      <formula>0.376</formula>
      <formula>0.475</formula>
    </cfRule>
    <cfRule type="cellIs" dxfId="8429" priority="10301" operator="between">
      <formula>0.2551</formula>
      <formula>0.3751</formula>
    </cfRule>
    <cfRule type="cellIs" dxfId="8428" priority="10302" operator="greaterThan">
      <formula>0.505</formula>
    </cfRule>
    <cfRule type="cellIs" dxfId="8427" priority="10303" operator="between">
      <formula>0.48</formula>
      <formula>0.5</formula>
    </cfRule>
    <cfRule type="cellIs" dxfId="8426" priority="10304" stopIfTrue="1" operator="between">
      <formula>0</formula>
      <formula>0.255</formula>
    </cfRule>
  </conditionalFormatting>
  <conditionalFormatting sqref="AC129">
    <cfRule type="cellIs" dxfId="8425" priority="10290" operator="between">
      <formula>0.56251</formula>
      <formula>0.7125</formula>
    </cfRule>
    <cfRule type="cellIs" dxfId="8424" priority="10291" operator="between">
      <formula>0.3751</formula>
      <formula>0.5625</formula>
    </cfRule>
    <cfRule type="cellIs" dxfId="8423" priority="10292" operator="greaterThan">
      <formula>0.751</formula>
    </cfRule>
    <cfRule type="cellIs" dxfId="8422" priority="10293" operator="between">
      <formula>0.71251</formula>
      <formula>0.75</formula>
    </cfRule>
    <cfRule type="cellIs" dxfId="8421" priority="10294" stopIfTrue="1" operator="between">
      <formula>0</formula>
      <formula>0.375</formula>
    </cfRule>
  </conditionalFormatting>
  <conditionalFormatting sqref="L129">
    <cfRule type="cellIs" dxfId="8420" priority="10285" operator="between">
      <formula>0.76</formula>
      <formula>0.95</formula>
    </cfRule>
    <cfRule type="cellIs" dxfId="8419" priority="10286" operator="between">
      <formula>0.51</formula>
      <formula>0.75</formula>
    </cfRule>
    <cfRule type="cellIs" dxfId="8418" priority="10287" operator="greaterThan">
      <formula>1</formula>
    </cfRule>
    <cfRule type="cellIs" dxfId="8417" priority="10288" operator="between">
      <formula>0.95</formula>
      <formula>1</formula>
    </cfRule>
    <cfRule type="cellIs" dxfId="8416" priority="10289" stopIfTrue="1" operator="between">
      <formula>0</formula>
      <formula>0.5</formula>
    </cfRule>
  </conditionalFormatting>
  <conditionalFormatting sqref="AG129">
    <cfRule type="cellIs" dxfId="8415" priority="10270" operator="between">
      <formula>0.76</formula>
      <formula>0.95</formula>
    </cfRule>
    <cfRule type="cellIs" dxfId="8414" priority="10271" operator="between">
      <formula>0.51</formula>
      <formula>0.75</formula>
    </cfRule>
    <cfRule type="cellIs" dxfId="8413" priority="10272" operator="greaterThan">
      <formula>1</formula>
    </cfRule>
    <cfRule type="cellIs" dxfId="8412" priority="10273" operator="between">
      <formula>0.95</formula>
      <formula>1</formula>
    </cfRule>
    <cfRule type="cellIs" dxfId="8411" priority="10274" stopIfTrue="1" operator="between">
      <formula>0</formula>
      <formula>0.5</formula>
    </cfRule>
  </conditionalFormatting>
  <conditionalFormatting sqref="R191 Y191 AF191">
    <cfRule type="cellIs" dxfId="8410" priority="10265" operator="between">
      <formula>0.76</formula>
      <formula>0.95</formula>
    </cfRule>
    <cfRule type="cellIs" dxfId="8409" priority="10266" operator="between">
      <formula>0.51</formula>
      <formula>0.75</formula>
    </cfRule>
    <cfRule type="cellIs" dxfId="8408" priority="10267" operator="greaterThan">
      <formula>1</formula>
    </cfRule>
    <cfRule type="cellIs" dxfId="8407" priority="10268" operator="between">
      <formula>0.95</formula>
      <formula>1</formula>
    </cfRule>
    <cfRule type="cellIs" dxfId="8406" priority="10269" stopIfTrue="1" operator="between">
      <formula>0</formula>
      <formula>0.5</formula>
    </cfRule>
  </conditionalFormatting>
  <conditionalFormatting sqref="Z293">
    <cfRule type="cellIs" dxfId="8405" priority="9920" operator="between">
      <formula>0.76</formula>
      <formula>0.95</formula>
    </cfRule>
    <cfRule type="cellIs" dxfId="8404" priority="9921" operator="between">
      <formula>0.51</formula>
      <formula>0.75</formula>
    </cfRule>
    <cfRule type="cellIs" dxfId="8403" priority="9922" operator="greaterThan">
      <formula>1</formula>
    </cfRule>
    <cfRule type="cellIs" dxfId="8402" priority="9923" operator="between">
      <formula>0.95</formula>
      <formula>1</formula>
    </cfRule>
    <cfRule type="cellIs" dxfId="8401" priority="9924" stopIfTrue="1" operator="between">
      <formula>0</formula>
      <formula>0.5</formula>
    </cfRule>
  </conditionalFormatting>
  <conditionalFormatting sqref="AG191">
    <cfRule type="cellIs" dxfId="8400" priority="10202" operator="between">
      <formula>0.76</formula>
      <formula>0.95</formula>
    </cfRule>
    <cfRule type="cellIs" dxfId="8399" priority="10203" operator="between">
      <formula>0.51</formula>
      <formula>0.75</formula>
    </cfRule>
    <cfRule type="cellIs" dxfId="8398" priority="10204" operator="greaterThan">
      <formula>1</formula>
    </cfRule>
    <cfRule type="cellIs" dxfId="8397" priority="10205" operator="between">
      <formula>0.95</formula>
      <formula>1</formula>
    </cfRule>
    <cfRule type="cellIs" dxfId="8396" priority="10206" stopIfTrue="1" operator="between">
      <formula>0</formula>
      <formula>0.5</formula>
    </cfRule>
  </conditionalFormatting>
  <conditionalFormatting sqref="Z191">
    <cfRule type="cellIs" dxfId="8395" priority="10197" operator="between">
      <formula>0.76</formula>
      <formula>0.95</formula>
    </cfRule>
    <cfRule type="cellIs" dxfId="8394" priority="10198" operator="between">
      <formula>0.51</formula>
      <formula>0.75</formula>
    </cfRule>
    <cfRule type="cellIs" dxfId="8393" priority="10199" operator="greaterThan">
      <formula>1</formula>
    </cfRule>
    <cfRule type="cellIs" dxfId="8392" priority="10200" operator="between">
      <formula>0.95</formula>
      <formula>1</formula>
    </cfRule>
    <cfRule type="cellIs" dxfId="8391" priority="10201" stopIfTrue="1" operator="between">
      <formula>0</formula>
      <formula>0.5</formula>
    </cfRule>
  </conditionalFormatting>
  <conditionalFormatting sqref="S191">
    <cfRule type="cellIs" dxfId="8390" priority="10187" operator="between">
      <formula>0.76</formula>
      <formula>0.95</formula>
    </cfRule>
    <cfRule type="cellIs" dxfId="8389" priority="10188" operator="between">
      <formula>0.51</formula>
      <formula>0.75</formula>
    </cfRule>
    <cfRule type="cellIs" dxfId="8388" priority="10189" operator="greaterThan">
      <formula>1</formula>
    </cfRule>
    <cfRule type="cellIs" dxfId="8387" priority="10190" operator="between">
      <formula>0.95</formula>
      <formula>1</formula>
    </cfRule>
    <cfRule type="cellIs" dxfId="8386" priority="10191" stopIfTrue="1" operator="between">
      <formula>0</formula>
      <formula>0.5</formula>
    </cfRule>
  </conditionalFormatting>
  <conditionalFormatting sqref="Y283 AF283 R283 AH283:AI283">
    <cfRule type="cellIs" dxfId="8385" priority="10162" operator="between">
      <formula>0.76</formula>
      <formula>0.95</formula>
    </cfRule>
    <cfRule type="cellIs" dxfId="8384" priority="10163" operator="between">
      <formula>0.51</formula>
      <formula>0.75</formula>
    </cfRule>
    <cfRule type="cellIs" dxfId="8383" priority="10164" operator="greaterThan">
      <formula>1</formula>
    </cfRule>
    <cfRule type="cellIs" dxfId="8382" priority="10165" operator="between">
      <formula>0.95</formula>
      <formula>1</formula>
    </cfRule>
    <cfRule type="cellIs" dxfId="8381" priority="10166" stopIfTrue="1" operator="between">
      <formula>0</formula>
      <formula>0.5</formula>
    </cfRule>
  </conditionalFormatting>
  <conditionalFormatting sqref="T283">
    <cfRule type="cellIs" dxfId="8380" priority="10157" operator="between">
      <formula>0.3751</formula>
      <formula>0.475</formula>
    </cfRule>
    <cfRule type="cellIs" dxfId="8379" priority="10158" operator="between">
      <formula>0.2551</formula>
      <formula>0.375</formula>
    </cfRule>
    <cfRule type="cellIs" dxfId="8378" priority="10159" operator="greaterThan">
      <formula>0.505</formula>
    </cfRule>
    <cfRule type="cellIs" dxfId="8377" priority="10160" operator="between">
      <formula>0.48</formula>
      <formula>0.5</formula>
    </cfRule>
    <cfRule type="cellIs" dxfId="8376" priority="10161" stopIfTrue="1" operator="between">
      <formula>0</formula>
      <formula>0.255</formula>
    </cfRule>
  </conditionalFormatting>
  <conditionalFormatting sqref="AA283:AB283">
    <cfRule type="cellIs" dxfId="8375" priority="10152" operator="between">
      <formula>0.56251</formula>
      <formula>0.7125</formula>
    </cfRule>
    <cfRule type="cellIs" dxfId="8374" priority="10153" operator="between">
      <formula>0.3751</formula>
      <formula>0.5625</formula>
    </cfRule>
    <cfRule type="cellIs" dxfId="8373" priority="10154" operator="greaterThan">
      <formula>0.751</formula>
    </cfRule>
    <cfRule type="cellIs" dxfId="8372" priority="10155" operator="between">
      <formula>0.71251</formula>
      <formula>0.75</formula>
    </cfRule>
    <cfRule type="cellIs" dxfId="8371" priority="10156" stopIfTrue="1" operator="between">
      <formula>0</formula>
      <formula>0.375</formula>
    </cfRule>
  </conditionalFormatting>
  <conditionalFormatting sqref="U283">
    <cfRule type="cellIs" dxfId="8370" priority="10142" operator="between">
      <formula>0.376</formula>
      <formula>0.475</formula>
    </cfRule>
    <cfRule type="cellIs" dxfId="8369" priority="10143" operator="between">
      <formula>0.2551</formula>
      <formula>0.3751</formula>
    </cfRule>
    <cfRule type="cellIs" dxfId="8368" priority="10144" operator="greaterThan">
      <formula>0.505</formula>
    </cfRule>
    <cfRule type="cellIs" dxfId="8367" priority="10145" operator="between">
      <formula>0.48</formula>
      <formula>0.5</formula>
    </cfRule>
    <cfRule type="cellIs" dxfId="8366" priority="10146" stopIfTrue="1" operator="between">
      <formula>0</formula>
      <formula>0.255</formula>
    </cfRule>
  </conditionalFormatting>
  <conditionalFormatting sqref="AC283">
    <cfRule type="cellIs" dxfId="8365" priority="10134" operator="between">
      <formula>0.56251</formula>
      <formula>0.7125</formula>
    </cfRule>
    <cfRule type="cellIs" dxfId="8364" priority="10135" operator="between">
      <formula>0.3751</formula>
      <formula>0.5625</formula>
    </cfRule>
    <cfRule type="cellIs" dxfId="8363" priority="10136" operator="greaterThan">
      <formula>0.751</formula>
    </cfRule>
    <cfRule type="cellIs" dxfId="8362" priority="10137" operator="between">
      <formula>0.71251</formula>
      <formula>0.75</formula>
    </cfRule>
    <cfRule type="cellIs" dxfId="8361" priority="10138" stopIfTrue="1" operator="between">
      <formula>0</formula>
      <formula>0.375</formula>
    </cfRule>
  </conditionalFormatting>
  <conditionalFormatting sqref="V283">
    <cfRule type="cellIs" dxfId="8360" priority="10119" operator="between">
      <formula>0.376</formula>
      <formula>0.475</formula>
    </cfRule>
    <cfRule type="cellIs" dxfId="8359" priority="10120" operator="between">
      <formula>0.2551</formula>
      <formula>0.3751</formula>
    </cfRule>
    <cfRule type="cellIs" dxfId="8358" priority="10121" operator="greaterThan">
      <formula>0.505</formula>
    </cfRule>
    <cfRule type="cellIs" dxfId="8357" priority="10122" operator="between">
      <formula>0.48</formula>
      <formula>0.5</formula>
    </cfRule>
    <cfRule type="cellIs" dxfId="8356" priority="10123" stopIfTrue="1" operator="between">
      <formula>0</formula>
      <formula>0.255</formula>
    </cfRule>
  </conditionalFormatting>
  <conditionalFormatting sqref="S283">
    <cfRule type="cellIs" dxfId="8355" priority="10114" operator="between">
      <formula>0.76</formula>
      <formula>0.95</formula>
    </cfRule>
    <cfRule type="cellIs" dxfId="8354" priority="10115" operator="between">
      <formula>0.51</formula>
      <formula>0.75</formula>
    </cfRule>
    <cfRule type="cellIs" dxfId="8353" priority="10116" operator="greaterThan">
      <formula>1</formula>
    </cfRule>
    <cfRule type="cellIs" dxfId="8352" priority="10117" operator="between">
      <formula>0.95</formula>
      <formula>1</formula>
    </cfRule>
    <cfRule type="cellIs" dxfId="8351" priority="10118" stopIfTrue="1" operator="between">
      <formula>0</formula>
      <formula>0.5</formula>
    </cfRule>
  </conditionalFormatting>
  <conditionalFormatting sqref="Z283">
    <cfRule type="cellIs" dxfId="8350" priority="10109" operator="between">
      <formula>0.76</formula>
      <formula>0.95</formula>
    </cfRule>
    <cfRule type="cellIs" dxfId="8349" priority="10110" operator="between">
      <formula>0.51</formula>
      <formula>0.75</formula>
    </cfRule>
    <cfRule type="cellIs" dxfId="8348" priority="10111" operator="greaterThan">
      <formula>1</formula>
    </cfRule>
    <cfRule type="cellIs" dxfId="8347" priority="10112" operator="between">
      <formula>0.95</formula>
      <formula>1</formula>
    </cfRule>
    <cfRule type="cellIs" dxfId="8346" priority="10113" stopIfTrue="1" operator="between">
      <formula>0</formula>
      <formula>0.5</formula>
    </cfRule>
  </conditionalFormatting>
  <conditionalFormatting sqref="AG283">
    <cfRule type="cellIs" dxfId="8345" priority="10104" operator="between">
      <formula>0.76</formula>
      <formula>0.95</formula>
    </cfRule>
    <cfRule type="cellIs" dxfId="8344" priority="10105" operator="between">
      <formula>0.51</formula>
      <formula>0.75</formula>
    </cfRule>
    <cfRule type="cellIs" dxfId="8343" priority="10106" operator="greaterThan">
      <formula>1</formula>
    </cfRule>
    <cfRule type="cellIs" dxfId="8342" priority="10107" operator="between">
      <formula>0.95</formula>
      <formula>1</formula>
    </cfRule>
    <cfRule type="cellIs" dxfId="8341" priority="10108" stopIfTrue="1" operator="between">
      <formula>0</formula>
      <formula>0.5</formula>
    </cfRule>
  </conditionalFormatting>
  <conditionalFormatting sqref="Y284 AF284 R284 AH284:AI284 AH286:AI286 R286 AF286 Y286">
    <cfRule type="cellIs" dxfId="8340" priority="10099" operator="between">
      <formula>0.76</formula>
      <formula>0.95</formula>
    </cfRule>
    <cfRule type="cellIs" dxfId="8339" priority="10100" operator="between">
      <formula>0.51</formula>
      <formula>0.75</formula>
    </cfRule>
    <cfRule type="cellIs" dxfId="8338" priority="10101" operator="greaterThan">
      <formula>1</formula>
    </cfRule>
    <cfRule type="cellIs" dxfId="8337" priority="10102" operator="between">
      <formula>0.95</formula>
      <formula>1</formula>
    </cfRule>
    <cfRule type="cellIs" dxfId="8336" priority="10103" stopIfTrue="1" operator="between">
      <formula>0</formula>
      <formula>0.5</formula>
    </cfRule>
  </conditionalFormatting>
  <conditionalFormatting sqref="T284 T286">
    <cfRule type="cellIs" dxfId="8335" priority="10094" operator="between">
      <formula>0.3751</formula>
      <formula>0.475</formula>
    </cfRule>
    <cfRule type="cellIs" dxfId="8334" priority="10095" operator="between">
      <formula>0.2551</formula>
      <formula>0.375</formula>
    </cfRule>
    <cfRule type="cellIs" dxfId="8333" priority="10096" operator="greaterThan">
      <formula>0.505</formula>
    </cfRule>
    <cfRule type="cellIs" dxfId="8332" priority="10097" operator="between">
      <formula>0.48</formula>
      <formula>0.5</formula>
    </cfRule>
    <cfRule type="cellIs" dxfId="8331" priority="10098" stopIfTrue="1" operator="between">
      <formula>0</formula>
      <formula>0.255</formula>
    </cfRule>
  </conditionalFormatting>
  <conditionalFormatting sqref="AA284:AB284 AA286:AB286">
    <cfRule type="cellIs" dxfId="8330" priority="10089" operator="between">
      <formula>0.56251</formula>
      <formula>0.7125</formula>
    </cfRule>
    <cfRule type="cellIs" dxfId="8329" priority="10090" operator="between">
      <formula>0.3751</formula>
      <formula>0.5625</formula>
    </cfRule>
    <cfRule type="cellIs" dxfId="8328" priority="10091" operator="greaterThan">
      <formula>0.751</formula>
    </cfRule>
    <cfRule type="cellIs" dxfId="8327" priority="10092" operator="between">
      <formula>0.71251</formula>
      <formula>0.75</formula>
    </cfRule>
    <cfRule type="cellIs" dxfId="8326" priority="10093" stopIfTrue="1" operator="between">
      <formula>0</formula>
      <formula>0.375</formula>
    </cfRule>
  </conditionalFormatting>
  <conditionalFormatting sqref="U284 U286">
    <cfRule type="cellIs" dxfId="8325" priority="10079" operator="between">
      <formula>0.376</formula>
      <formula>0.475</formula>
    </cfRule>
    <cfRule type="cellIs" dxfId="8324" priority="10080" operator="between">
      <formula>0.2551</formula>
      <formula>0.3751</formula>
    </cfRule>
    <cfRule type="cellIs" dxfId="8323" priority="10081" operator="greaterThan">
      <formula>0.505</formula>
    </cfRule>
    <cfRule type="cellIs" dxfId="8322" priority="10082" operator="between">
      <formula>0.48</formula>
      <formula>0.5</formula>
    </cfRule>
    <cfRule type="cellIs" dxfId="8321" priority="10083" stopIfTrue="1" operator="between">
      <formula>0</formula>
      <formula>0.255</formula>
    </cfRule>
  </conditionalFormatting>
  <conditionalFormatting sqref="AC284">
    <cfRule type="cellIs" dxfId="8320" priority="10071" operator="between">
      <formula>0.56251</formula>
      <formula>0.7125</formula>
    </cfRule>
    <cfRule type="cellIs" dxfId="8319" priority="10072" operator="between">
      <formula>0.3751</formula>
      <formula>0.5625</formula>
    </cfRule>
    <cfRule type="cellIs" dxfId="8318" priority="10073" operator="greaterThan">
      <formula>0.751</formula>
    </cfRule>
    <cfRule type="cellIs" dxfId="8317" priority="10074" operator="between">
      <formula>0.71251</formula>
      <formula>0.75</formula>
    </cfRule>
    <cfRule type="cellIs" dxfId="8316" priority="10075" stopIfTrue="1" operator="between">
      <formula>0</formula>
      <formula>0.375</formula>
    </cfRule>
  </conditionalFormatting>
  <conditionalFormatting sqref="V284">
    <cfRule type="cellIs" dxfId="8315" priority="10056" operator="between">
      <formula>0.376</formula>
      <formula>0.475</formula>
    </cfRule>
    <cfRule type="cellIs" dxfId="8314" priority="10057" operator="between">
      <formula>0.2551</formula>
      <formula>0.3751</formula>
    </cfRule>
    <cfRule type="cellIs" dxfId="8313" priority="10058" operator="greaterThan">
      <formula>0.505</formula>
    </cfRule>
    <cfRule type="cellIs" dxfId="8312" priority="10059" operator="between">
      <formula>0.48</formula>
      <formula>0.5</formula>
    </cfRule>
    <cfRule type="cellIs" dxfId="8311" priority="10060" stopIfTrue="1" operator="between">
      <formula>0</formula>
      <formula>0.255</formula>
    </cfRule>
  </conditionalFormatting>
  <conditionalFormatting sqref="S284">
    <cfRule type="cellIs" dxfId="8310" priority="10051" operator="between">
      <formula>0.76</formula>
      <formula>0.95</formula>
    </cfRule>
    <cfRule type="cellIs" dxfId="8309" priority="10052" operator="between">
      <formula>0.51</formula>
      <formula>0.75</formula>
    </cfRule>
    <cfRule type="cellIs" dxfId="8308" priority="10053" operator="greaterThan">
      <formula>1</formula>
    </cfRule>
    <cfRule type="cellIs" dxfId="8307" priority="10054" operator="between">
      <formula>0.95</formula>
      <formula>1</formula>
    </cfRule>
    <cfRule type="cellIs" dxfId="8306" priority="10055" stopIfTrue="1" operator="between">
      <formula>0</formula>
      <formula>0.5</formula>
    </cfRule>
  </conditionalFormatting>
  <conditionalFormatting sqref="Z284">
    <cfRule type="cellIs" dxfId="8305" priority="10046" operator="between">
      <formula>0.76</formula>
      <formula>0.95</formula>
    </cfRule>
    <cfRule type="cellIs" dxfId="8304" priority="10047" operator="between">
      <formula>0.51</formula>
      <formula>0.75</formula>
    </cfRule>
    <cfRule type="cellIs" dxfId="8303" priority="10048" operator="greaterThan">
      <formula>1</formula>
    </cfRule>
    <cfRule type="cellIs" dxfId="8302" priority="10049" operator="between">
      <formula>0.95</formula>
      <formula>1</formula>
    </cfRule>
    <cfRule type="cellIs" dxfId="8301" priority="10050" stopIfTrue="1" operator="between">
      <formula>0</formula>
      <formula>0.5</formula>
    </cfRule>
  </conditionalFormatting>
  <conditionalFormatting sqref="AG284 AG286">
    <cfRule type="cellIs" dxfId="8300" priority="10041" operator="between">
      <formula>0.76</formula>
      <formula>0.95</formula>
    </cfRule>
    <cfRule type="cellIs" dxfId="8299" priority="10042" operator="between">
      <formula>0.51</formula>
      <formula>0.75</formula>
    </cfRule>
    <cfRule type="cellIs" dxfId="8298" priority="10043" operator="greaterThan">
      <formula>1</formula>
    </cfRule>
    <cfRule type="cellIs" dxfId="8297" priority="10044" operator="between">
      <formula>0.95</formula>
      <formula>1</formula>
    </cfRule>
    <cfRule type="cellIs" dxfId="8296" priority="10045" stopIfTrue="1" operator="between">
      <formula>0</formula>
      <formula>0.5</formula>
    </cfRule>
  </conditionalFormatting>
  <conditionalFormatting sqref="Y291 AF291 R291 AH291:AI291">
    <cfRule type="cellIs" dxfId="8295" priority="10036" operator="between">
      <formula>0.76</formula>
      <formula>0.95</formula>
    </cfRule>
    <cfRule type="cellIs" dxfId="8294" priority="10037" operator="between">
      <formula>0.51</formula>
      <formula>0.75</formula>
    </cfRule>
    <cfRule type="cellIs" dxfId="8293" priority="10038" operator="greaterThan">
      <formula>1</formula>
    </cfRule>
    <cfRule type="cellIs" dxfId="8292" priority="10039" operator="between">
      <formula>0.95</formula>
      <formula>1</formula>
    </cfRule>
    <cfRule type="cellIs" dxfId="8291" priority="10040" stopIfTrue="1" operator="between">
      <formula>0</formula>
      <formula>0.5</formula>
    </cfRule>
  </conditionalFormatting>
  <conditionalFormatting sqref="T291">
    <cfRule type="cellIs" dxfId="8290" priority="10031" operator="between">
      <formula>0.3751</formula>
      <formula>0.475</formula>
    </cfRule>
    <cfRule type="cellIs" dxfId="8289" priority="10032" operator="between">
      <formula>0.2551</formula>
      <formula>0.375</formula>
    </cfRule>
    <cfRule type="cellIs" dxfId="8288" priority="10033" operator="greaterThan">
      <formula>0.505</formula>
    </cfRule>
    <cfRule type="cellIs" dxfId="8287" priority="10034" operator="between">
      <formula>0.48</formula>
      <formula>0.5</formula>
    </cfRule>
    <cfRule type="cellIs" dxfId="8286" priority="10035" stopIfTrue="1" operator="between">
      <formula>0</formula>
      <formula>0.255</formula>
    </cfRule>
  </conditionalFormatting>
  <conditionalFormatting sqref="AA291:AB291">
    <cfRule type="cellIs" dxfId="8285" priority="10026" operator="between">
      <formula>0.56251</formula>
      <formula>0.7125</formula>
    </cfRule>
    <cfRule type="cellIs" dxfId="8284" priority="10027" operator="between">
      <formula>0.3751</formula>
      <formula>0.5625</formula>
    </cfRule>
    <cfRule type="cellIs" dxfId="8283" priority="10028" operator="greaterThan">
      <formula>0.751</formula>
    </cfRule>
    <cfRule type="cellIs" dxfId="8282" priority="10029" operator="between">
      <formula>0.71251</formula>
      <formula>0.75</formula>
    </cfRule>
    <cfRule type="cellIs" dxfId="8281" priority="10030" stopIfTrue="1" operator="between">
      <formula>0</formula>
      <formula>0.375</formula>
    </cfRule>
  </conditionalFormatting>
  <conditionalFormatting sqref="U291">
    <cfRule type="cellIs" dxfId="8280" priority="10016" operator="between">
      <formula>0.376</formula>
      <formula>0.475</formula>
    </cfRule>
    <cfRule type="cellIs" dxfId="8279" priority="10017" operator="between">
      <formula>0.2551</formula>
      <formula>0.3751</formula>
    </cfRule>
    <cfRule type="cellIs" dxfId="8278" priority="10018" operator="greaterThan">
      <formula>0.505</formula>
    </cfRule>
    <cfRule type="cellIs" dxfId="8277" priority="10019" operator="between">
      <formula>0.48</formula>
      <formula>0.5</formula>
    </cfRule>
    <cfRule type="cellIs" dxfId="8276" priority="10020" stopIfTrue="1" operator="between">
      <formula>0</formula>
      <formula>0.255</formula>
    </cfRule>
  </conditionalFormatting>
  <conditionalFormatting sqref="AC291">
    <cfRule type="cellIs" dxfId="8275" priority="10008" operator="between">
      <formula>0.56251</formula>
      <formula>0.7125</formula>
    </cfRule>
    <cfRule type="cellIs" dxfId="8274" priority="10009" operator="between">
      <formula>0.3751</formula>
      <formula>0.5625</formula>
    </cfRule>
    <cfRule type="cellIs" dxfId="8273" priority="10010" operator="greaterThan">
      <formula>0.751</formula>
    </cfRule>
    <cfRule type="cellIs" dxfId="8272" priority="10011" operator="between">
      <formula>0.71251</formula>
      <formula>0.75</formula>
    </cfRule>
    <cfRule type="cellIs" dxfId="8271" priority="10012" stopIfTrue="1" operator="between">
      <formula>0</formula>
      <formula>0.375</formula>
    </cfRule>
  </conditionalFormatting>
  <conditionalFormatting sqref="V291">
    <cfRule type="cellIs" dxfId="8270" priority="9993" operator="between">
      <formula>0.376</formula>
      <formula>0.475</formula>
    </cfRule>
    <cfRule type="cellIs" dxfId="8269" priority="9994" operator="between">
      <formula>0.2551</formula>
      <formula>0.3751</formula>
    </cfRule>
    <cfRule type="cellIs" dxfId="8268" priority="9995" operator="greaterThan">
      <formula>0.505</formula>
    </cfRule>
    <cfRule type="cellIs" dxfId="8267" priority="9996" operator="between">
      <formula>0.48</formula>
      <formula>0.5</formula>
    </cfRule>
    <cfRule type="cellIs" dxfId="8266" priority="9997" stopIfTrue="1" operator="between">
      <formula>0</formula>
      <formula>0.255</formula>
    </cfRule>
  </conditionalFormatting>
  <conditionalFormatting sqref="S291">
    <cfRule type="cellIs" dxfId="8265" priority="9988" operator="between">
      <formula>0.76</formula>
      <formula>0.95</formula>
    </cfRule>
    <cfRule type="cellIs" dxfId="8264" priority="9989" operator="between">
      <formula>0.51</formula>
      <formula>0.75</formula>
    </cfRule>
    <cfRule type="cellIs" dxfId="8263" priority="9990" operator="greaterThan">
      <formula>1</formula>
    </cfRule>
    <cfRule type="cellIs" dxfId="8262" priority="9991" operator="between">
      <formula>0.95</formula>
      <formula>1</formula>
    </cfRule>
    <cfRule type="cellIs" dxfId="8261" priority="9992" stopIfTrue="1" operator="between">
      <formula>0</formula>
      <formula>0.5</formula>
    </cfRule>
  </conditionalFormatting>
  <conditionalFormatting sqref="Z291">
    <cfRule type="cellIs" dxfId="8260" priority="9983" operator="between">
      <formula>0.76</formula>
      <formula>0.95</formula>
    </cfRule>
    <cfRule type="cellIs" dxfId="8259" priority="9984" operator="between">
      <formula>0.51</formula>
      <formula>0.75</formula>
    </cfRule>
    <cfRule type="cellIs" dxfId="8258" priority="9985" operator="greaterThan">
      <formula>1</formula>
    </cfRule>
    <cfRule type="cellIs" dxfId="8257" priority="9986" operator="between">
      <formula>0.95</formula>
      <formula>1</formula>
    </cfRule>
    <cfRule type="cellIs" dxfId="8256" priority="9987" stopIfTrue="1" operator="between">
      <formula>0</formula>
      <formula>0.5</formula>
    </cfRule>
  </conditionalFormatting>
  <conditionalFormatting sqref="AG291">
    <cfRule type="cellIs" dxfId="8255" priority="9978" operator="between">
      <formula>0.76</formula>
      <formula>0.95</formula>
    </cfRule>
    <cfRule type="cellIs" dxfId="8254" priority="9979" operator="between">
      <formula>0.51</formula>
      <formula>0.75</formula>
    </cfRule>
    <cfRule type="cellIs" dxfId="8253" priority="9980" operator="greaterThan">
      <formula>1</formula>
    </cfRule>
    <cfRule type="cellIs" dxfId="8252" priority="9981" operator="between">
      <formula>0.95</formula>
      <formula>1</formula>
    </cfRule>
    <cfRule type="cellIs" dxfId="8251" priority="9982" stopIfTrue="1" operator="between">
      <formula>0</formula>
      <formula>0.5</formula>
    </cfRule>
  </conditionalFormatting>
  <conditionalFormatting sqref="Y293 AF293 R293 AH293:AI293">
    <cfRule type="cellIs" dxfId="8250" priority="9973" operator="between">
      <formula>0.76</formula>
      <formula>0.95</formula>
    </cfRule>
    <cfRule type="cellIs" dxfId="8249" priority="9974" operator="between">
      <formula>0.51</formula>
      <formula>0.75</formula>
    </cfRule>
    <cfRule type="cellIs" dxfId="8248" priority="9975" operator="greaterThan">
      <formula>1</formula>
    </cfRule>
    <cfRule type="cellIs" dxfId="8247" priority="9976" operator="between">
      <formula>0.95</formula>
      <formula>1</formula>
    </cfRule>
    <cfRule type="cellIs" dxfId="8246" priority="9977" stopIfTrue="1" operator="between">
      <formula>0</formula>
      <formula>0.5</formula>
    </cfRule>
  </conditionalFormatting>
  <conditionalFormatting sqref="T293">
    <cfRule type="cellIs" dxfId="8245" priority="9968" operator="between">
      <formula>0.3751</formula>
      <formula>0.475</formula>
    </cfRule>
    <cfRule type="cellIs" dxfId="8244" priority="9969" operator="between">
      <formula>0.2551</formula>
      <formula>0.375</formula>
    </cfRule>
    <cfRule type="cellIs" dxfId="8243" priority="9970" operator="greaterThan">
      <formula>0.505</formula>
    </cfRule>
    <cfRule type="cellIs" dxfId="8242" priority="9971" operator="between">
      <formula>0.48</formula>
      <formula>0.5</formula>
    </cfRule>
    <cfRule type="cellIs" dxfId="8241" priority="9972" stopIfTrue="1" operator="between">
      <formula>0</formula>
      <formula>0.255</formula>
    </cfRule>
  </conditionalFormatting>
  <conditionalFormatting sqref="AA293:AB293">
    <cfRule type="cellIs" dxfId="8240" priority="9963" operator="between">
      <formula>0.56251</formula>
      <formula>0.7125</formula>
    </cfRule>
    <cfRule type="cellIs" dxfId="8239" priority="9964" operator="between">
      <formula>0.3751</formula>
      <formula>0.5625</formula>
    </cfRule>
    <cfRule type="cellIs" dxfId="8238" priority="9965" operator="greaterThan">
      <formula>0.751</formula>
    </cfRule>
    <cfRule type="cellIs" dxfId="8237" priority="9966" operator="between">
      <formula>0.71251</formula>
      <formula>0.75</formula>
    </cfRule>
    <cfRule type="cellIs" dxfId="8236" priority="9967" stopIfTrue="1" operator="between">
      <formula>0</formula>
      <formula>0.375</formula>
    </cfRule>
  </conditionalFormatting>
  <conditionalFormatting sqref="U293">
    <cfRule type="cellIs" dxfId="8235" priority="9953" operator="between">
      <formula>0.376</formula>
      <formula>0.475</formula>
    </cfRule>
    <cfRule type="cellIs" dxfId="8234" priority="9954" operator="between">
      <formula>0.2551</formula>
      <formula>0.3751</formula>
    </cfRule>
    <cfRule type="cellIs" dxfId="8233" priority="9955" operator="greaterThan">
      <formula>0.505</formula>
    </cfRule>
    <cfRule type="cellIs" dxfId="8232" priority="9956" operator="between">
      <formula>0.48</formula>
      <formula>0.5</formula>
    </cfRule>
    <cfRule type="cellIs" dxfId="8231" priority="9957" stopIfTrue="1" operator="between">
      <formula>0</formula>
      <formula>0.255</formula>
    </cfRule>
  </conditionalFormatting>
  <conditionalFormatting sqref="AC293">
    <cfRule type="cellIs" dxfId="8230" priority="9945" operator="between">
      <formula>0.56251</formula>
      <formula>0.7125</formula>
    </cfRule>
    <cfRule type="cellIs" dxfId="8229" priority="9946" operator="between">
      <formula>0.3751</formula>
      <formula>0.5625</formula>
    </cfRule>
    <cfRule type="cellIs" dxfId="8228" priority="9947" operator="greaterThan">
      <formula>0.751</formula>
    </cfRule>
    <cfRule type="cellIs" dxfId="8227" priority="9948" operator="between">
      <formula>0.71251</formula>
      <formula>0.75</formula>
    </cfRule>
    <cfRule type="cellIs" dxfId="8226" priority="9949" stopIfTrue="1" operator="between">
      <formula>0</formula>
      <formula>0.375</formula>
    </cfRule>
  </conditionalFormatting>
  <conditionalFormatting sqref="V293">
    <cfRule type="cellIs" dxfId="8225" priority="9930" operator="between">
      <formula>0.376</formula>
      <formula>0.475</formula>
    </cfRule>
    <cfRule type="cellIs" dxfId="8224" priority="9931" operator="between">
      <formula>0.2551</formula>
      <formula>0.3751</formula>
    </cfRule>
    <cfRule type="cellIs" dxfId="8223" priority="9932" operator="greaterThan">
      <formula>0.505</formula>
    </cfRule>
    <cfRule type="cellIs" dxfId="8222" priority="9933" operator="between">
      <formula>0.48</formula>
      <formula>0.5</formula>
    </cfRule>
    <cfRule type="cellIs" dxfId="8221" priority="9934" stopIfTrue="1" operator="between">
      <formula>0</formula>
      <formula>0.255</formula>
    </cfRule>
  </conditionalFormatting>
  <conditionalFormatting sqref="S293">
    <cfRule type="cellIs" dxfId="8220" priority="9925" operator="between">
      <formula>0.76</formula>
      <formula>0.95</formula>
    </cfRule>
    <cfRule type="cellIs" dxfId="8219" priority="9926" operator="between">
      <formula>0.51</formula>
      <formula>0.75</formula>
    </cfRule>
    <cfRule type="cellIs" dxfId="8218" priority="9927" operator="greaterThan">
      <formula>1</formula>
    </cfRule>
    <cfRule type="cellIs" dxfId="8217" priority="9928" operator="between">
      <formula>0.95</formula>
      <formula>1</formula>
    </cfRule>
    <cfRule type="cellIs" dxfId="8216" priority="9929" stopIfTrue="1" operator="between">
      <formula>0</formula>
      <formula>0.5</formula>
    </cfRule>
  </conditionalFormatting>
  <conditionalFormatting sqref="AG293">
    <cfRule type="cellIs" dxfId="8215" priority="9915" operator="between">
      <formula>0.76</formula>
      <formula>0.95</formula>
    </cfRule>
    <cfRule type="cellIs" dxfId="8214" priority="9916" operator="between">
      <formula>0.51</formula>
      <formula>0.75</formula>
    </cfRule>
    <cfRule type="cellIs" dxfId="8213" priority="9917" operator="greaterThan">
      <formula>1</formula>
    </cfRule>
    <cfRule type="cellIs" dxfId="8212" priority="9918" operator="between">
      <formula>0.95</formula>
      <formula>1</formula>
    </cfRule>
    <cfRule type="cellIs" dxfId="8211" priority="9919" stopIfTrue="1" operator="between">
      <formula>0</formula>
      <formula>0.5</formula>
    </cfRule>
  </conditionalFormatting>
  <conditionalFormatting sqref="Y292 AF292 R292 AH292:AI292">
    <cfRule type="cellIs" dxfId="8210" priority="9910" operator="between">
      <formula>0.76</formula>
      <formula>0.95</formula>
    </cfRule>
    <cfRule type="cellIs" dxfId="8209" priority="9911" operator="between">
      <formula>0.51</formula>
      <formula>0.75</formula>
    </cfRule>
    <cfRule type="cellIs" dxfId="8208" priority="9912" operator="greaterThan">
      <formula>1</formula>
    </cfRule>
    <cfRule type="cellIs" dxfId="8207" priority="9913" operator="between">
      <formula>0.95</formula>
      <formula>1</formula>
    </cfRule>
    <cfRule type="cellIs" dxfId="8206" priority="9914" stopIfTrue="1" operator="between">
      <formula>0</formula>
      <formula>0.5</formula>
    </cfRule>
  </conditionalFormatting>
  <conditionalFormatting sqref="T292">
    <cfRule type="cellIs" dxfId="8205" priority="9905" operator="between">
      <formula>0.3751</formula>
      <formula>0.475</formula>
    </cfRule>
    <cfRule type="cellIs" dxfId="8204" priority="9906" operator="between">
      <formula>0.2551</formula>
      <formula>0.375</formula>
    </cfRule>
    <cfRule type="cellIs" dxfId="8203" priority="9907" operator="greaterThan">
      <formula>0.505</formula>
    </cfRule>
    <cfRule type="cellIs" dxfId="8202" priority="9908" operator="between">
      <formula>0.48</formula>
      <formula>0.5</formula>
    </cfRule>
    <cfRule type="cellIs" dxfId="8201" priority="9909" stopIfTrue="1" operator="between">
      <formula>0</formula>
      <formula>0.255</formula>
    </cfRule>
  </conditionalFormatting>
  <conditionalFormatting sqref="AA292:AB292">
    <cfRule type="cellIs" dxfId="8200" priority="9900" operator="between">
      <formula>0.56251</formula>
      <formula>0.7125</formula>
    </cfRule>
    <cfRule type="cellIs" dxfId="8199" priority="9901" operator="between">
      <formula>0.3751</formula>
      <formula>0.5625</formula>
    </cfRule>
    <cfRule type="cellIs" dxfId="8198" priority="9902" operator="greaterThan">
      <formula>0.751</formula>
    </cfRule>
    <cfRule type="cellIs" dxfId="8197" priority="9903" operator="between">
      <formula>0.71251</formula>
      <formula>0.75</formula>
    </cfRule>
    <cfRule type="cellIs" dxfId="8196" priority="9904" stopIfTrue="1" operator="between">
      <formula>0</formula>
      <formula>0.375</formula>
    </cfRule>
  </conditionalFormatting>
  <conditionalFormatting sqref="U292">
    <cfRule type="cellIs" dxfId="8195" priority="9890" operator="between">
      <formula>0.376</formula>
      <formula>0.475</formula>
    </cfRule>
    <cfRule type="cellIs" dxfId="8194" priority="9891" operator="between">
      <formula>0.2551</formula>
      <formula>0.3751</formula>
    </cfRule>
    <cfRule type="cellIs" dxfId="8193" priority="9892" operator="greaterThan">
      <formula>0.505</formula>
    </cfRule>
    <cfRule type="cellIs" dxfId="8192" priority="9893" operator="between">
      <formula>0.48</formula>
      <formula>0.5</formula>
    </cfRule>
    <cfRule type="cellIs" dxfId="8191" priority="9894" stopIfTrue="1" operator="between">
      <formula>0</formula>
      <formula>0.255</formula>
    </cfRule>
  </conditionalFormatting>
  <conditionalFormatting sqref="V292">
    <cfRule type="cellIs" dxfId="8190" priority="9867" operator="between">
      <formula>0.376</formula>
      <formula>0.475</formula>
    </cfRule>
    <cfRule type="cellIs" dxfId="8189" priority="9868" operator="between">
      <formula>0.2551</formula>
      <formula>0.3751</formula>
    </cfRule>
    <cfRule type="cellIs" dxfId="8188" priority="9869" operator="greaterThan">
      <formula>0.505</formula>
    </cfRule>
    <cfRule type="cellIs" dxfId="8187" priority="9870" operator="between">
      <formula>0.48</formula>
      <formula>0.5</formula>
    </cfRule>
    <cfRule type="cellIs" dxfId="8186" priority="9871" stopIfTrue="1" operator="between">
      <formula>0</formula>
      <formula>0.255</formula>
    </cfRule>
  </conditionalFormatting>
  <conditionalFormatting sqref="S292">
    <cfRule type="cellIs" dxfId="8185" priority="9862" operator="between">
      <formula>0.76</formula>
      <formula>0.95</formula>
    </cfRule>
    <cfRule type="cellIs" dxfId="8184" priority="9863" operator="between">
      <formula>0.51</formula>
      <formula>0.75</formula>
    </cfRule>
    <cfRule type="cellIs" dxfId="8183" priority="9864" operator="greaterThan">
      <formula>1</formula>
    </cfRule>
    <cfRule type="cellIs" dxfId="8182" priority="9865" operator="between">
      <formula>0.95</formula>
      <formula>1</formula>
    </cfRule>
    <cfRule type="cellIs" dxfId="8181" priority="9866" stopIfTrue="1" operator="between">
      <formula>0</formula>
      <formula>0.5</formula>
    </cfRule>
  </conditionalFormatting>
  <conditionalFormatting sqref="AG292">
    <cfRule type="cellIs" dxfId="8180" priority="9852" operator="between">
      <formula>0.76</formula>
      <formula>0.95</formula>
    </cfRule>
    <cfRule type="cellIs" dxfId="8179" priority="9853" operator="between">
      <formula>0.51</formula>
      <formula>0.75</formula>
    </cfRule>
    <cfRule type="cellIs" dxfId="8178" priority="9854" operator="greaterThan">
      <formula>1</formula>
    </cfRule>
    <cfRule type="cellIs" dxfId="8177" priority="9855" operator="between">
      <formula>0.95</formula>
      <formula>1</formula>
    </cfRule>
    <cfRule type="cellIs" dxfId="8176" priority="9856" stopIfTrue="1" operator="between">
      <formula>0</formula>
      <formula>0.5</formula>
    </cfRule>
  </conditionalFormatting>
  <conditionalFormatting sqref="S286">
    <cfRule type="cellIs" dxfId="8175" priority="9837" operator="between">
      <formula>0.76</formula>
      <formula>0.95</formula>
    </cfRule>
    <cfRule type="cellIs" dxfId="8174" priority="9838" operator="between">
      <formula>0.51</formula>
      <formula>0.75</formula>
    </cfRule>
    <cfRule type="cellIs" dxfId="8173" priority="9839" operator="greaterThan">
      <formula>1</formula>
    </cfRule>
    <cfRule type="cellIs" dxfId="8172" priority="9840" operator="between">
      <formula>0.95</formula>
      <formula>1</formula>
    </cfRule>
    <cfRule type="cellIs" dxfId="8171" priority="9841" stopIfTrue="1" operator="between">
      <formula>0</formula>
      <formula>0.5</formula>
    </cfRule>
  </conditionalFormatting>
  <conditionalFormatting sqref="V286">
    <cfRule type="cellIs" dxfId="8170" priority="9832" operator="between">
      <formula>0.376</formula>
      <formula>0.475</formula>
    </cfRule>
    <cfRule type="cellIs" dxfId="8169" priority="9833" operator="between">
      <formula>0.2551</formula>
      <formula>0.3751</formula>
    </cfRule>
    <cfRule type="cellIs" dxfId="8168" priority="9834" operator="greaterThan">
      <formula>0.505</formula>
    </cfRule>
    <cfRule type="cellIs" dxfId="8167" priority="9835" operator="between">
      <formula>0.48</formula>
      <formula>0.5</formula>
    </cfRule>
    <cfRule type="cellIs" dxfId="8166" priority="9836" stopIfTrue="1" operator="between">
      <formula>0</formula>
      <formula>0.255</formula>
    </cfRule>
  </conditionalFormatting>
  <conditionalFormatting sqref="Z286">
    <cfRule type="cellIs" dxfId="8165" priority="9827" operator="between">
      <formula>0.76</formula>
      <formula>0.95</formula>
    </cfRule>
    <cfRule type="cellIs" dxfId="8164" priority="9828" operator="between">
      <formula>0.51</formula>
      <formula>0.75</formula>
    </cfRule>
    <cfRule type="cellIs" dxfId="8163" priority="9829" operator="greaterThan">
      <formula>1</formula>
    </cfRule>
    <cfRule type="cellIs" dxfId="8162" priority="9830" operator="between">
      <formula>0.95</formula>
      <formula>1</formula>
    </cfRule>
    <cfRule type="cellIs" dxfId="8161" priority="9831" stopIfTrue="1" operator="between">
      <formula>0</formula>
      <formula>0.5</formula>
    </cfRule>
  </conditionalFormatting>
  <conditionalFormatting sqref="AC286">
    <cfRule type="cellIs" dxfId="8160" priority="9822" operator="between">
      <formula>0.56251</formula>
      <formula>0.7125</formula>
    </cfRule>
    <cfRule type="cellIs" dxfId="8159" priority="9823" operator="between">
      <formula>0.3751</formula>
      <formula>0.5625</formula>
    </cfRule>
    <cfRule type="cellIs" dxfId="8158" priority="9824" operator="greaterThan">
      <formula>0.751</formula>
    </cfRule>
    <cfRule type="cellIs" dxfId="8157" priority="9825" operator="between">
      <formula>0.71251</formula>
      <formula>0.75</formula>
    </cfRule>
    <cfRule type="cellIs" dxfId="8156" priority="9826" stopIfTrue="1" operator="between">
      <formula>0</formula>
      <formula>0.375</formula>
    </cfRule>
  </conditionalFormatting>
  <conditionalFormatting sqref="Z292">
    <cfRule type="cellIs" dxfId="8155" priority="9817" operator="between">
      <formula>0.76</formula>
      <formula>0.95</formula>
    </cfRule>
    <cfRule type="cellIs" dxfId="8154" priority="9818" operator="between">
      <formula>0.51</formula>
      <formula>0.75</formula>
    </cfRule>
    <cfRule type="cellIs" dxfId="8153" priority="9819" operator="greaterThan">
      <formula>1</formula>
    </cfRule>
    <cfRule type="cellIs" dxfId="8152" priority="9820" operator="between">
      <formula>0.95</formula>
      <formula>1</formula>
    </cfRule>
    <cfRule type="cellIs" dxfId="8151" priority="9821" stopIfTrue="1" operator="between">
      <formula>0</formula>
      <formula>0.5</formula>
    </cfRule>
  </conditionalFormatting>
  <conditionalFormatting sqref="AC292">
    <cfRule type="cellIs" dxfId="8150" priority="9812" operator="between">
      <formula>0.56251</formula>
      <formula>0.7125</formula>
    </cfRule>
    <cfRule type="cellIs" dxfId="8149" priority="9813" operator="between">
      <formula>0.3751</formula>
      <formula>0.5625</formula>
    </cfRule>
    <cfRule type="cellIs" dxfId="8148" priority="9814" operator="greaterThan">
      <formula>0.751</formula>
    </cfRule>
    <cfRule type="cellIs" dxfId="8147" priority="9815" operator="between">
      <formula>0.71251</formula>
      <formula>0.75</formula>
    </cfRule>
    <cfRule type="cellIs" dxfId="8146" priority="9816" stopIfTrue="1" operator="between">
      <formula>0</formula>
      <formula>0.375</formula>
    </cfRule>
  </conditionalFormatting>
  <conditionalFormatting sqref="S287">
    <cfRule type="cellIs" dxfId="8145" priority="9487" operator="between">
      <formula>0.76</formula>
      <formula>0.95</formula>
    </cfRule>
    <cfRule type="cellIs" dxfId="8144" priority="9488" operator="between">
      <formula>0.51</formula>
      <formula>0.75</formula>
    </cfRule>
    <cfRule type="cellIs" dxfId="8143" priority="9489" operator="greaterThan">
      <formula>1</formula>
    </cfRule>
    <cfRule type="cellIs" dxfId="8142" priority="9490" operator="between">
      <formula>0.95</formula>
      <formula>1</formula>
    </cfRule>
    <cfRule type="cellIs" dxfId="8141" priority="9491" stopIfTrue="1" operator="between">
      <formula>0</formula>
      <formula>0.5</formula>
    </cfRule>
  </conditionalFormatting>
  <conditionalFormatting sqref="Y294 AF294 R294 AH294:AI294">
    <cfRule type="cellIs" dxfId="8140" priority="9807" operator="between">
      <formula>0.76</formula>
      <formula>0.95</formula>
    </cfRule>
    <cfRule type="cellIs" dxfId="8139" priority="9808" operator="between">
      <formula>0.51</formula>
      <formula>0.75</formula>
    </cfRule>
    <cfRule type="cellIs" dxfId="8138" priority="9809" operator="greaterThan">
      <formula>1</formula>
    </cfRule>
    <cfRule type="cellIs" dxfId="8137" priority="9810" operator="between">
      <formula>0.95</formula>
      <formula>1</formula>
    </cfRule>
    <cfRule type="cellIs" dxfId="8136" priority="9811" stopIfTrue="1" operator="between">
      <formula>0</formula>
      <formula>0.5</formula>
    </cfRule>
  </conditionalFormatting>
  <conditionalFormatting sqref="T294">
    <cfRule type="cellIs" dxfId="8135" priority="9802" operator="between">
      <formula>0.3751</formula>
      <formula>0.475</formula>
    </cfRule>
    <cfRule type="cellIs" dxfId="8134" priority="9803" operator="between">
      <formula>0.2551</formula>
      <formula>0.375</formula>
    </cfRule>
    <cfRule type="cellIs" dxfId="8133" priority="9804" operator="greaterThan">
      <formula>0.505</formula>
    </cfRule>
    <cfRule type="cellIs" dxfId="8132" priority="9805" operator="between">
      <formula>0.48</formula>
      <formula>0.5</formula>
    </cfRule>
    <cfRule type="cellIs" dxfId="8131" priority="9806" stopIfTrue="1" operator="between">
      <formula>0</formula>
      <formula>0.255</formula>
    </cfRule>
  </conditionalFormatting>
  <conditionalFormatting sqref="AA294:AB294">
    <cfRule type="cellIs" dxfId="8130" priority="9797" operator="between">
      <formula>0.56251</formula>
      <formula>0.7125</formula>
    </cfRule>
    <cfRule type="cellIs" dxfId="8129" priority="9798" operator="between">
      <formula>0.3751</formula>
      <formula>0.5625</formula>
    </cfRule>
    <cfRule type="cellIs" dxfId="8128" priority="9799" operator="greaterThan">
      <formula>0.751</formula>
    </cfRule>
    <cfRule type="cellIs" dxfId="8127" priority="9800" operator="between">
      <formula>0.71251</formula>
      <formula>0.75</formula>
    </cfRule>
    <cfRule type="cellIs" dxfId="8126" priority="9801" stopIfTrue="1" operator="between">
      <formula>0</formula>
      <formula>0.375</formula>
    </cfRule>
  </conditionalFormatting>
  <conditionalFormatting sqref="U294">
    <cfRule type="cellIs" dxfId="8125" priority="9787" operator="between">
      <formula>0.376</formula>
      <formula>0.475</formula>
    </cfRule>
    <cfRule type="cellIs" dxfId="8124" priority="9788" operator="between">
      <formula>0.2551</formula>
      <formula>0.3751</formula>
    </cfRule>
    <cfRule type="cellIs" dxfId="8123" priority="9789" operator="greaterThan">
      <formula>0.505</formula>
    </cfRule>
    <cfRule type="cellIs" dxfId="8122" priority="9790" operator="between">
      <formula>0.48</formula>
      <formula>0.5</formula>
    </cfRule>
    <cfRule type="cellIs" dxfId="8121" priority="9791" stopIfTrue="1" operator="between">
      <formula>0</formula>
      <formula>0.255</formula>
    </cfRule>
  </conditionalFormatting>
  <conditionalFormatting sqref="AG294">
    <cfRule type="cellIs" dxfId="8120" priority="9749" operator="between">
      <formula>0.76</formula>
      <formula>0.95</formula>
    </cfRule>
    <cfRule type="cellIs" dxfId="8119" priority="9750" operator="between">
      <formula>0.51</formula>
      <formula>0.75</formula>
    </cfRule>
    <cfRule type="cellIs" dxfId="8118" priority="9751" operator="greaterThan">
      <formula>1</formula>
    </cfRule>
    <cfRule type="cellIs" dxfId="8117" priority="9752" operator="between">
      <formula>0.95</formula>
      <formula>1</formula>
    </cfRule>
    <cfRule type="cellIs" dxfId="8116" priority="9753" stopIfTrue="1" operator="between">
      <formula>0</formula>
      <formula>0.5</formula>
    </cfRule>
  </conditionalFormatting>
  <conditionalFormatting sqref="S294">
    <cfRule type="cellIs" dxfId="8115" priority="9744" operator="between">
      <formula>0.76</formula>
      <formula>0.95</formula>
    </cfRule>
    <cfRule type="cellIs" dxfId="8114" priority="9745" operator="between">
      <formula>0.51</formula>
      <formula>0.75</formula>
    </cfRule>
    <cfRule type="cellIs" dxfId="8113" priority="9746" operator="greaterThan">
      <formula>1</formula>
    </cfRule>
    <cfRule type="cellIs" dxfId="8112" priority="9747" operator="between">
      <formula>0.95</formula>
      <formula>1</formula>
    </cfRule>
    <cfRule type="cellIs" dxfId="8111" priority="9748" stopIfTrue="1" operator="between">
      <formula>0</formula>
      <formula>0.5</formula>
    </cfRule>
  </conditionalFormatting>
  <conditionalFormatting sqref="V294">
    <cfRule type="cellIs" dxfId="8110" priority="9739" operator="between">
      <formula>0.376</formula>
      <formula>0.475</formula>
    </cfRule>
    <cfRule type="cellIs" dxfId="8109" priority="9740" operator="between">
      <formula>0.2551</formula>
      <formula>0.3751</formula>
    </cfRule>
    <cfRule type="cellIs" dxfId="8108" priority="9741" operator="greaterThan">
      <formula>0.505</formula>
    </cfRule>
    <cfRule type="cellIs" dxfId="8107" priority="9742" operator="between">
      <formula>0.48</formula>
      <formula>0.5</formula>
    </cfRule>
    <cfRule type="cellIs" dxfId="8106" priority="9743" stopIfTrue="1" operator="between">
      <formula>0</formula>
      <formula>0.255</formula>
    </cfRule>
  </conditionalFormatting>
  <conditionalFormatting sqref="Z294">
    <cfRule type="cellIs" dxfId="8105" priority="9734" operator="between">
      <formula>0.76</formula>
      <formula>0.95</formula>
    </cfRule>
    <cfRule type="cellIs" dxfId="8104" priority="9735" operator="between">
      <formula>0.51</formula>
      <formula>0.75</formula>
    </cfRule>
    <cfRule type="cellIs" dxfId="8103" priority="9736" operator="greaterThan">
      <formula>1</formula>
    </cfRule>
    <cfRule type="cellIs" dxfId="8102" priority="9737" operator="between">
      <formula>0.95</formula>
      <formula>1</formula>
    </cfRule>
    <cfRule type="cellIs" dxfId="8101" priority="9738" stopIfTrue="1" operator="between">
      <formula>0</formula>
      <formula>0.5</formula>
    </cfRule>
  </conditionalFormatting>
  <conditionalFormatting sqref="AC294">
    <cfRule type="cellIs" dxfId="8100" priority="9729" operator="between">
      <formula>0.56251</formula>
      <formula>0.7125</formula>
    </cfRule>
    <cfRule type="cellIs" dxfId="8099" priority="9730" operator="between">
      <formula>0.3751</formula>
      <formula>0.5625</formula>
    </cfRule>
    <cfRule type="cellIs" dxfId="8098" priority="9731" operator="greaterThan">
      <formula>0.751</formula>
    </cfRule>
    <cfRule type="cellIs" dxfId="8097" priority="9732" operator="between">
      <formula>0.71251</formula>
      <formula>0.75</formula>
    </cfRule>
    <cfRule type="cellIs" dxfId="8096" priority="9733" stopIfTrue="1" operator="between">
      <formula>0</formula>
      <formula>0.375</formula>
    </cfRule>
  </conditionalFormatting>
  <conditionalFormatting sqref="R193 Y193 AF193 AH193:AI193">
    <cfRule type="cellIs" dxfId="8095" priority="9724" operator="between">
      <formula>0.76</formula>
      <formula>0.95</formula>
    </cfRule>
    <cfRule type="cellIs" dxfId="8094" priority="9725" operator="between">
      <formula>0.51</formula>
      <formula>0.75</formula>
    </cfRule>
    <cfRule type="cellIs" dxfId="8093" priority="9726" operator="greaterThan">
      <formula>1</formula>
    </cfRule>
    <cfRule type="cellIs" dxfId="8092" priority="9727" operator="between">
      <formula>0.95</formula>
      <formula>1</formula>
    </cfRule>
    <cfRule type="cellIs" dxfId="8091" priority="9728" stopIfTrue="1" operator="between">
      <formula>0</formula>
      <formula>0.5</formula>
    </cfRule>
  </conditionalFormatting>
  <conditionalFormatting sqref="T193">
    <cfRule type="cellIs" dxfId="8090" priority="9719" operator="between">
      <formula>0.3751</formula>
      <formula>0.475</formula>
    </cfRule>
    <cfRule type="cellIs" dxfId="8089" priority="9720" operator="between">
      <formula>0.2551</formula>
      <formula>0.375</formula>
    </cfRule>
    <cfRule type="cellIs" dxfId="8088" priority="9721" operator="greaterThan">
      <formula>0.505</formula>
    </cfRule>
    <cfRule type="cellIs" dxfId="8087" priority="9722" operator="between">
      <formula>0.48</formula>
      <formula>0.5</formula>
    </cfRule>
    <cfRule type="cellIs" dxfId="8086" priority="9723" stopIfTrue="1" operator="between">
      <formula>0</formula>
      <formula>0.255</formula>
    </cfRule>
  </conditionalFormatting>
  <conditionalFormatting sqref="AA193:AB193">
    <cfRule type="cellIs" dxfId="8085" priority="9714" operator="between">
      <formula>0.56251</formula>
      <formula>0.7125</formula>
    </cfRule>
    <cfRule type="cellIs" dxfId="8084" priority="9715" operator="between">
      <formula>0.3751</formula>
      <formula>0.5625</formula>
    </cfRule>
    <cfRule type="cellIs" dxfId="8083" priority="9716" operator="greaterThan">
      <formula>0.751</formula>
    </cfRule>
    <cfRule type="cellIs" dxfId="8082" priority="9717" operator="between">
      <formula>0.71251</formula>
      <formula>0.75</formula>
    </cfRule>
    <cfRule type="cellIs" dxfId="8081" priority="9718" stopIfTrue="1" operator="between">
      <formula>0</formula>
      <formula>0.375</formula>
    </cfRule>
  </conditionalFormatting>
  <conditionalFormatting sqref="U193">
    <cfRule type="cellIs" dxfId="8080" priority="9704" operator="between">
      <formula>0.376</formula>
      <formula>0.475</formula>
    </cfRule>
    <cfRule type="cellIs" dxfId="8079" priority="9705" operator="between">
      <formula>0.2551</formula>
      <formula>0.3751</formula>
    </cfRule>
    <cfRule type="cellIs" dxfId="8078" priority="9706" operator="greaterThan">
      <formula>0.505</formula>
    </cfRule>
    <cfRule type="cellIs" dxfId="8077" priority="9707" operator="between">
      <formula>0.48</formula>
      <formula>0.5</formula>
    </cfRule>
    <cfRule type="cellIs" dxfId="8076" priority="9708" stopIfTrue="1" operator="between">
      <formula>0</formula>
      <formula>0.255</formula>
    </cfRule>
  </conditionalFormatting>
  <conditionalFormatting sqref="AG193">
    <cfRule type="cellIs" dxfId="8075" priority="9696" operator="between">
      <formula>0.76</formula>
      <formula>0.95</formula>
    </cfRule>
    <cfRule type="cellIs" dxfId="8074" priority="9697" operator="between">
      <formula>0.51</formula>
      <formula>0.75</formula>
    </cfRule>
    <cfRule type="cellIs" dxfId="8073" priority="9698" operator="greaterThan">
      <formula>1</formula>
    </cfRule>
    <cfRule type="cellIs" dxfId="8072" priority="9699" operator="between">
      <formula>0.95</formula>
      <formula>1</formula>
    </cfRule>
    <cfRule type="cellIs" dxfId="8071" priority="9700" stopIfTrue="1" operator="between">
      <formula>0</formula>
      <formula>0.5</formula>
    </cfRule>
  </conditionalFormatting>
  <conditionalFormatting sqref="Z193">
    <cfRule type="cellIs" dxfId="8070" priority="9691" operator="between">
      <formula>0.76</formula>
      <formula>0.95</formula>
    </cfRule>
    <cfRule type="cellIs" dxfId="8069" priority="9692" operator="between">
      <formula>0.51</formula>
      <formula>0.75</formula>
    </cfRule>
    <cfRule type="cellIs" dxfId="8068" priority="9693" operator="greaterThan">
      <formula>1</formula>
    </cfRule>
    <cfRule type="cellIs" dxfId="8067" priority="9694" operator="between">
      <formula>0.95</formula>
      <formula>1</formula>
    </cfRule>
    <cfRule type="cellIs" dxfId="8066" priority="9695" stopIfTrue="1" operator="between">
      <formula>0</formula>
      <formula>0.5</formula>
    </cfRule>
  </conditionalFormatting>
  <conditionalFormatting sqref="AC193">
    <cfRule type="cellIs" dxfId="8065" priority="9686" operator="between">
      <formula>0.56251</formula>
      <formula>0.7125</formula>
    </cfRule>
    <cfRule type="cellIs" dxfId="8064" priority="9687" operator="between">
      <formula>0.3751</formula>
      <formula>0.5625</formula>
    </cfRule>
    <cfRule type="cellIs" dxfId="8063" priority="9688" operator="greaterThan">
      <formula>0.751</formula>
    </cfRule>
    <cfRule type="cellIs" dxfId="8062" priority="9689" operator="between">
      <formula>0.71251</formula>
      <formula>0.75</formula>
    </cfRule>
    <cfRule type="cellIs" dxfId="8061" priority="9690" stopIfTrue="1" operator="between">
      <formula>0</formula>
      <formula>0.375</formula>
    </cfRule>
  </conditionalFormatting>
  <conditionalFormatting sqref="S193">
    <cfRule type="cellIs" dxfId="8060" priority="9681" operator="between">
      <formula>0.76</formula>
      <formula>0.95</formula>
    </cfRule>
    <cfRule type="cellIs" dxfId="8059" priority="9682" operator="between">
      <formula>0.51</formula>
      <formula>0.75</formula>
    </cfRule>
    <cfRule type="cellIs" dxfId="8058" priority="9683" operator="greaterThan">
      <formula>1</formula>
    </cfRule>
    <cfRule type="cellIs" dxfId="8057" priority="9684" operator="between">
      <formula>0.95</formula>
      <formula>1</formula>
    </cfRule>
    <cfRule type="cellIs" dxfId="8056" priority="9685" stopIfTrue="1" operator="between">
      <formula>0</formula>
      <formula>0.5</formula>
    </cfRule>
  </conditionalFormatting>
  <conditionalFormatting sqref="V193">
    <cfRule type="cellIs" dxfId="8055" priority="9676" operator="between">
      <formula>0.376</formula>
      <formula>0.475</formula>
    </cfRule>
    <cfRule type="cellIs" dxfId="8054" priority="9677" operator="between">
      <formula>0.2551</formula>
      <formula>0.3751</formula>
    </cfRule>
    <cfRule type="cellIs" dxfId="8053" priority="9678" operator="greaterThan">
      <formula>0.505</formula>
    </cfRule>
    <cfRule type="cellIs" dxfId="8052" priority="9679" operator="between">
      <formula>0.48</formula>
      <formula>0.5</formula>
    </cfRule>
    <cfRule type="cellIs" dxfId="8051" priority="9680" stopIfTrue="1" operator="between">
      <formula>0</formula>
      <formula>0.255</formula>
    </cfRule>
  </conditionalFormatting>
  <conditionalFormatting sqref="Y295 AF295 R295 AH295:AI295">
    <cfRule type="cellIs" dxfId="8050" priority="9656" operator="between">
      <formula>0.76</formula>
      <formula>0.95</formula>
    </cfRule>
    <cfRule type="cellIs" dxfId="8049" priority="9657" operator="between">
      <formula>0.51</formula>
      <formula>0.75</formula>
    </cfRule>
    <cfRule type="cellIs" dxfId="8048" priority="9658" operator="greaterThan">
      <formula>1</formula>
    </cfRule>
    <cfRule type="cellIs" dxfId="8047" priority="9659" operator="between">
      <formula>0.95</formula>
      <formula>1</formula>
    </cfRule>
    <cfRule type="cellIs" dxfId="8046" priority="9660" stopIfTrue="1" operator="between">
      <formula>0</formula>
      <formula>0.5</formula>
    </cfRule>
  </conditionalFormatting>
  <conditionalFormatting sqref="T295">
    <cfRule type="cellIs" dxfId="8045" priority="9651" operator="between">
      <formula>0.3751</formula>
      <formula>0.475</formula>
    </cfRule>
    <cfRule type="cellIs" dxfId="8044" priority="9652" operator="between">
      <formula>0.2551</formula>
      <formula>0.375</formula>
    </cfRule>
    <cfRule type="cellIs" dxfId="8043" priority="9653" operator="greaterThan">
      <formula>0.505</formula>
    </cfRule>
    <cfRule type="cellIs" dxfId="8042" priority="9654" operator="between">
      <formula>0.48</formula>
      <formula>0.5</formula>
    </cfRule>
    <cfRule type="cellIs" dxfId="8041" priority="9655" stopIfTrue="1" operator="between">
      <formula>0</formula>
      <formula>0.255</formula>
    </cfRule>
  </conditionalFormatting>
  <conditionalFormatting sqref="AA295:AB295">
    <cfRule type="cellIs" dxfId="8040" priority="9646" operator="between">
      <formula>0.56251</formula>
      <formula>0.7125</formula>
    </cfRule>
    <cfRule type="cellIs" dxfId="8039" priority="9647" operator="between">
      <formula>0.3751</formula>
      <formula>0.5625</formula>
    </cfRule>
    <cfRule type="cellIs" dxfId="8038" priority="9648" operator="greaterThan">
      <formula>0.751</formula>
    </cfRule>
    <cfRule type="cellIs" dxfId="8037" priority="9649" operator="between">
      <formula>0.71251</formula>
      <formula>0.75</formula>
    </cfRule>
    <cfRule type="cellIs" dxfId="8036" priority="9650" stopIfTrue="1" operator="between">
      <formula>0</formula>
      <formula>0.375</formula>
    </cfRule>
  </conditionalFormatting>
  <conditionalFormatting sqref="U295">
    <cfRule type="cellIs" dxfId="8035" priority="9636" operator="between">
      <formula>0.376</formula>
      <formula>0.475</formula>
    </cfRule>
    <cfRule type="cellIs" dxfId="8034" priority="9637" operator="between">
      <formula>0.2551</formula>
      <formula>0.3751</formula>
    </cfRule>
    <cfRule type="cellIs" dxfId="8033" priority="9638" operator="greaterThan">
      <formula>0.505</formula>
    </cfRule>
    <cfRule type="cellIs" dxfId="8032" priority="9639" operator="between">
      <formula>0.48</formula>
      <formula>0.5</formula>
    </cfRule>
    <cfRule type="cellIs" dxfId="8031" priority="9640" stopIfTrue="1" operator="between">
      <formula>0</formula>
      <formula>0.255</formula>
    </cfRule>
  </conditionalFormatting>
  <conditionalFormatting sqref="AG295">
    <cfRule type="cellIs" dxfId="8030" priority="9618" operator="between">
      <formula>0.76</formula>
      <formula>0.95</formula>
    </cfRule>
    <cfRule type="cellIs" dxfId="8029" priority="9619" operator="between">
      <formula>0.51</formula>
      <formula>0.75</formula>
    </cfRule>
    <cfRule type="cellIs" dxfId="8028" priority="9620" operator="greaterThan">
      <formula>1</formula>
    </cfRule>
    <cfRule type="cellIs" dxfId="8027" priority="9621" operator="between">
      <formula>0.95</formula>
      <formula>1</formula>
    </cfRule>
    <cfRule type="cellIs" dxfId="8026" priority="9622" stopIfTrue="1" operator="between">
      <formula>0</formula>
      <formula>0.5</formula>
    </cfRule>
  </conditionalFormatting>
  <conditionalFormatting sqref="S295">
    <cfRule type="cellIs" dxfId="8025" priority="9613" operator="between">
      <formula>0.76</formula>
      <formula>0.95</formula>
    </cfRule>
    <cfRule type="cellIs" dxfId="8024" priority="9614" operator="between">
      <formula>0.51</formula>
      <formula>0.75</formula>
    </cfRule>
    <cfRule type="cellIs" dxfId="8023" priority="9615" operator="greaterThan">
      <formula>1</formula>
    </cfRule>
    <cfRule type="cellIs" dxfId="8022" priority="9616" operator="between">
      <formula>0.95</formula>
      <formula>1</formula>
    </cfRule>
    <cfRule type="cellIs" dxfId="8021" priority="9617" stopIfTrue="1" operator="between">
      <formula>0</formula>
      <formula>0.5</formula>
    </cfRule>
  </conditionalFormatting>
  <conditionalFormatting sqref="V295">
    <cfRule type="cellIs" dxfId="8020" priority="9608" operator="between">
      <formula>0.376</formula>
      <formula>0.475</formula>
    </cfRule>
    <cfRule type="cellIs" dxfId="8019" priority="9609" operator="between">
      <formula>0.2551</formula>
      <formula>0.3751</formula>
    </cfRule>
    <cfRule type="cellIs" dxfId="8018" priority="9610" operator="greaterThan">
      <formula>0.505</formula>
    </cfRule>
    <cfRule type="cellIs" dxfId="8017" priority="9611" operator="between">
      <formula>0.48</formula>
      <formula>0.5</formula>
    </cfRule>
    <cfRule type="cellIs" dxfId="8016" priority="9612" stopIfTrue="1" operator="between">
      <formula>0</formula>
      <formula>0.255</formula>
    </cfRule>
  </conditionalFormatting>
  <conditionalFormatting sqref="Z295">
    <cfRule type="cellIs" dxfId="8015" priority="9603" operator="between">
      <formula>0.76</formula>
      <formula>0.95</formula>
    </cfRule>
    <cfRule type="cellIs" dxfId="8014" priority="9604" operator="between">
      <formula>0.51</formula>
      <formula>0.75</formula>
    </cfRule>
    <cfRule type="cellIs" dxfId="8013" priority="9605" operator="greaterThan">
      <formula>1</formula>
    </cfRule>
    <cfRule type="cellIs" dxfId="8012" priority="9606" operator="between">
      <formula>0.95</formula>
      <formula>1</formula>
    </cfRule>
    <cfRule type="cellIs" dxfId="8011" priority="9607" stopIfTrue="1" operator="between">
      <formula>0</formula>
      <formula>0.5</formula>
    </cfRule>
  </conditionalFormatting>
  <conditionalFormatting sqref="AC295">
    <cfRule type="cellIs" dxfId="8010" priority="9598" operator="between">
      <formula>0.56251</formula>
      <formula>0.7125</formula>
    </cfRule>
    <cfRule type="cellIs" dxfId="8009" priority="9599" operator="between">
      <formula>0.3751</formula>
      <formula>0.5625</formula>
    </cfRule>
    <cfRule type="cellIs" dxfId="8008" priority="9600" operator="greaterThan">
      <formula>0.751</formula>
    </cfRule>
    <cfRule type="cellIs" dxfId="8007" priority="9601" operator="between">
      <formula>0.71251</formula>
      <formula>0.75</formula>
    </cfRule>
    <cfRule type="cellIs" dxfId="8006" priority="9602" stopIfTrue="1" operator="between">
      <formula>0</formula>
      <formula>0.375</formula>
    </cfRule>
  </conditionalFormatting>
  <conditionalFormatting sqref="Y296 AF296 R296 AH296:AI296">
    <cfRule type="cellIs" dxfId="8005" priority="9593" operator="between">
      <formula>0.76</formula>
      <formula>0.95</formula>
    </cfRule>
    <cfRule type="cellIs" dxfId="8004" priority="9594" operator="between">
      <formula>0.51</formula>
      <formula>0.75</formula>
    </cfRule>
    <cfRule type="cellIs" dxfId="8003" priority="9595" operator="greaterThan">
      <formula>1</formula>
    </cfRule>
    <cfRule type="cellIs" dxfId="8002" priority="9596" operator="between">
      <formula>0.95</formula>
      <formula>1</formula>
    </cfRule>
    <cfRule type="cellIs" dxfId="8001" priority="9597" stopIfTrue="1" operator="between">
      <formula>0</formula>
      <formula>0.5</formula>
    </cfRule>
  </conditionalFormatting>
  <conditionalFormatting sqref="T296">
    <cfRule type="cellIs" dxfId="8000" priority="9588" operator="between">
      <formula>0.3751</formula>
      <formula>0.475</formula>
    </cfRule>
    <cfRule type="cellIs" dxfId="7999" priority="9589" operator="between">
      <formula>0.2551</formula>
      <formula>0.375</formula>
    </cfRule>
    <cfRule type="cellIs" dxfId="7998" priority="9590" operator="greaterThan">
      <formula>0.505</formula>
    </cfRule>
    <cfRule type="cellIs" dxfId="7997" priority="9591" operator="between">
      <formula>0.48</formula>
      <formula>0.5</formula>
    </cfRule>
    <cfRule type="cellIs" dxfId="7996" priority="9592" stopIfTrue="1" operator="between">
      <formula>0</formula>
      <formula>0.255</formula>
    </cfRule>
  </conditionalFormatting>
  <conditionalFormatting sqref="AA296:AB296">
    <cfRule type="cellIs" dxfId="7995" priority="9583" operator="between">
      <formula>0.56251</formula>
      <formula>0.7125</formula>
    </cfRule>
    <cfRule type="cellIs" dxfId="7994" priority="9584" operator="between">
      <formula>0.3751</formula>
      <formula>0.5625</formula>
    </cfRule>
    <cfRule type="cellIs" dxfId="7993" priority="9585" operator="greaterThan">
      <formula>0.751</formula>
    </cfRule>
    <cfRule type="cellIs" dxfId="7992" priority="9586" operator="between">
      <formula>0.71251</formula>
      <formula>0.75</formula>
    </cfRule>
    <cfRule type="cellIs" dxfId="7991" priority="9587" stopIfTrue="1" operator="between">
      <formula>0</formula>
      <formula>0.375</formula>
    </cfRule>
  </conditionalFormatting>
  <conditionalFormatting sqref="U296">
    <cfRule type="cellIs" dxfId="7990" priority="9573" operator="between">
      <formula>0.376</formula>
      <formula>0.475</formula>
    </cfRule>
    <cfRule type="cellIs" dxfId="7989" priority="9574" operator="between">
      <formula>0.2551</formula>
      <formula>0.3751</formula>
    </cfRule>
    <cfRule type="cellIs" dxfId="7988" priority="9575" operator="greaterThan">
      <formula>0.505</formula>
    </cfRule>
    <cfRule type="cellIs" dxfId="7987" priority="9576" operator="between">
      <formula>0.48</formula>
      <formula>0.5</formula>
    </cfRule>
    <cfRule type="cellIs" dxfId="7986" priority="9577" stopIfTrue="1" operator="between">
      <formula>0</formula>
      <formula>0.255</formula>
    </cfRule>
  </conditionalFormatting>
  <conditionalFormatting sqref="S296">
    <cfRule type="cellIs" dxfId="7985" priority="9550" operator="between">
      <formula>0.76</formula>
      <formula>0.95</formula>
    </cfRule>
    <cfRule type="cellIs" dxfId="7984" priority="9551" operator="between">
      <formula>0.51</formula>
      <formula>0.75</formula>
    </cfRule>
    <cfRule type="cellIs" dxfId="7983" priority="9552" operator="greaterThan">
      <formula>1</formula>
    </cfRule>
    <cfRule type="cellIs" dxfId="7982" priority="9553" operator="between">
      <formula>0.95</formula>
      <formula>1</formula>
    </cfRule>
    <cfRule type="cellIs" dxfId="7981" priority="9554" stopIfTrue="1" operator="between">
      <formula>0</formula>
      <formula>0.5</formula>
    </cfRule>
  </conditionalFormatting>
  <conditionalFormatting sqref="V296">
    <cfRule type="cellIs" dxfId="7980" priority="9545" operator="between">
      <formula>0.376</formula>
      <formula>0.475</formula>
    </cfRule>
    <cfRule type="cellIs" dxfId="7979" priority="9546" operator="between">
      <formula>0.2551</formula>
      <formula>0.3751</formula>
    </cfRule>
    <cfRule type="cellIs" dxfId="7978" priority="9547" operator="greaterThan">
      <formula>0.505</formula>
    </cfRule>
    <cfRule type="cellIs" dxfId="7977" priority="9548" operator="between">
      <formula>0.48</formula>
      <formula>0.5</formula>
    </cfRule>
    <cfRule type="cellIs" dxfId="7976" priority="9549" stopIfTrue="1" operator="between">
      <formula>0</formula>
      <formula>0.255</formula>
    </cfRule>
  </conditionalFormatting>
  <conditionalFormatting sqref="Z296">
    <cfRule type="cellIs" dxfId="7975" priority="9540" operator="between">
      <formula>0.76</formula>
      <formula>0.95</formula>
    </cfRule>
    <cfRule type="cellIs" dxfId="7974" priority="9541" operator="between">
      <formula>0.51</formula>
      <formula>0.75</formula>
    </cfRule>
    <cfRule type="cellIs" dxfId="7973" priority="9542" operator="greaterThan">
      <formula>1</formula>
    </cfRule>
    <cfRule type="cellIs" dxfId="7972" priority="9543" operator="between">
      <formula>0.95</formula>
      <formula>1</formula>
    </cfRule>
    <cfRule type="cellIs" dxfId="7971" priority="9544" stopIfTrue="1" operator="between">
      <formula>0</formula>
      <formula>0.5</formula>
    </cfRule>
  </conditionalFormatting>
  <conditionalFormatting sqref="AC296">
    <cfRule type="cellIs" dxfId="7970" priority="9535" operator="between">
      <formula>0.56251</formula>
      <formula>0.7125</formula>
    </cfRule>
    <cfRule type="cellIs" dxfId="7969" priority="9536" operator="between">
      <formula>0.3751</formula>
      <formula>0.5625</formula>
    </cfRule>
    <cfRule type="cellIs" dxfId="7968" priority="9537" operator="greaterThan">
      <formula>0.751</formula>
    </cfRule>
    <cfRule type="cellIs" dxfId="7967" priority="9538" operator="between">
      <formula>0.71251</formula>
      <formula>0.75</formula>
    </cfRule>
    <cfRule type="cellIs" dxfId="7966" priority="9539" stopIfTrue="1" operator="between">
      <formula>0</formula>
      <formula>0.375</formula>
    </cfRule>
  </conditionalFormatting>
  <conditionalFormatting sqref="Y287 AF287 R287 AH287:AI287">
    <cfRule type="cellIs" dxfId="7965" priority="9530" operator="between">
      <formula>0.76</formula>
      <formula>0.95</formula>
    </cfRule>
    <cfRule type="cellIs" dxfId="7964" priority="9531" operator="between">
      <formula>0.51</formula>
      <formula>0.75</formula>
    </cfRule>
    <cfRule type="cellIs" dxfId="7963" priority="9532" operator="greaterThan">
      <formula>1</formula>
    </cfRule>
    <cfRule type="cellIs" dxfId="7962" priority="9533" operator="between">
      <formula>0.95</formula>
      <formula>1</formula>
    </cfRule>
    <cfRule type="cellIs" dxfId="7961" priority="9534" stopIfTrue="1" operator="between">
      <formula>0</formula>
      <formula>0.5</formula>
    </cfRule>
  </conditionalFormatting>
  <conditionalFormatting sqref="T287">
    <cfRule type="cellIs" dxfId="7960" priority="9525" operator="between">
      <formula>0.3751</formula>
      <formula>0.475</formula>
    </cfRule>
    <cfRule type="cellIs" dxfId="7959" priority="9526" operator="between">
      <formula>0.2551</formula>
      <formula>0.375</formula>
    </cfRule>
    <cfRule type="cellIs" dxfId="7958" priority="9527" operator="greaterThan">
      <formula>0.505</formula>
    </cfRule>
    <cfRule type="cellIs" dxfId="7957" priority="9528" operator="between">
      <formula>0.48</formula>
      <formula>0.5</formula>
    </cfRule>
    <cfRule type="cellIs" dxfId="7956" priority="9529" stopIfTrue="1" operator="between">
      <formula>0</formula>
      <formula>0.255</formula>
    </cfRule>
  </conditionalFormatting>
  <conditionalFormatting sqref="AA287:AB287">
    <cfRule type="cellIs" dxfId="7955" priority="9520" operator="between">
      <formula>0.56251</formula>
      <formula>0.7125</formula>
    </cfRule>
    <cfRule type="cellIs" dxfId="7954" priority="9521" operator="between">
      <formula>0.3751</formula>
      <formula>0.5625</formula>
    </cfRule>
    <cfRule type="cellIs" dxfId="7953" priority="9522" operator="greaterThan">
      <formula>0.751</formula>
    </cfRule>
    <cfRule type="cellIs" dxfId="7952" priority="9523" operator="between">
      <formula>0.71251</formula>
      <formula>0.75</formula>
    </cfRule>
    <cfRule type="cellIs" dxfId="7951" priority="9524" stopIfTrue="1" operator="between">
      <formula>0</formula>
      <formula>0.375</formula>
    </cfRule>
  </conditionalFormatting>
  <conditionalFormatting sqref="U287">
    <cfRule type="cellIs" dxfId="7950" priority="9510" operator="between">
      <formula>0.376</formula>
      <formula>0.475</formula>
    </cfRule>
    <cfRule type="cellIs" dxfId="7949" priority="9511" operator="between">
      <formula>0.2551</formula>
      <formula>0.3751</formula>
    </cfRule>
    <cfRule type="cellIs" dxfId="7948" priority="9512" operator="greaterThan">
      <formula>0.505</formula>
    </cfRule>
    <cfRule type="cellIs" dxfId="7947" priority="9513" operator="between">
      <formula>0.48</formula>
      <formula>0.5</formula>
    </cfRule>
    <cfRule type="cellIs" dxfId="7946" priority="9514" stopIfTrue="1" operator="between">
      <formula>0</formula>
      <formula>0.255</formula>
    </cfRule>
  </conditionalFormatting>
  <conditionalFormatting sqref="AG287">
    <cfRule type="cellIs" dxfId="7945" priority="9502" operator="between">
      <formula>0.76</formula>
      <formula>0.95</formula>
    </cfRule>
    <cfRule type="cellIs" dxfId="7944" priority="9503" operator="between">
      <formula>0.51</formula>
      <formula>0.75</formula>
    </cfRule>
    <cfRule type="cellIs" dxfId="7943" priority="9504" operator="greaterThan">
      <formula>1</formula>
    </cfRule>
    <cfRule type="cellIs" dxfId="7942" priority="9505" operator="between">
      <formula>0.95</formula>
      <formula>1</formula>
    </cfRule>
    <cfRule type="cellIs" dxfId="7941" priority="9506" stopIfTrue="1" operator="between">
      <formula>0</formula>
      <formula>0.5</formula>
    </cfRule>
  </conditionalFormatting>
  <conditionalFormatting sqref="V287">
    <cfRule type="cellIs" dxfId="7940" priority="9482" operator="between">
      <formula>0.376</formula>
      <formula>0.475</formula>
    </cfRule>
    <cfRule type="cellIs" dxfId="7939" priority="9483" operator="between">
      <formula>0.2551</formula>
      <formula>0.3751</formula>
    </cfRule>
    <cfRule type="cellIs" dxfId="7938" priority="9484" operator="greaterThan">
      <formula>0.505</formula>
    </cfRule>
    <cfRule type="cellIs" dxfId="7937" priority="9485" operator="between">
      <formula>0.48</formula>
      <formula>0.5</formula>
    </cfRule>
    <cfRule type="cellIs" dxfId="7936" priority="9486" stopIfTrue="1" operator="between">
      <formula>0</formula>
      <formula>0.255</formula>
    </cfRule>
  </conditionalFormatting>
  <conditionalFormatting sqref="Z287">
    <cfRule type="cellIs" dxfId="7935" priority="9477" operator="between">
      <formula>0.76</formula>
      <formula>0.95</formula>
    </cfRule>
    <cfRule type="cellIs" dxfId="7934" priority="9478" operator="between">
      <formula>0.51</formula>
      <formula>0.75</formula>
    </cfRule>
    <cfRule type="cellIs" dxfId="7933" priority="9479" operator="greaterThan">
      <formula>1</formula>
    </cfRule>
    <cfRule type="cellIs" dxfId="7932" priority="9480" operator="between">
      <formula>0.95</formula>
      <formula>1</formula>
    </cfRule>
    <cfRule type="cellIs" dxfId="7931" priority="9481" stopIfTrue="1" operator="between">
      <formula>0</formula>
      <formula>0.5</formula>
    </cfRule>
  </conditionalFormatting>
  <conditionalFormatting sqref="AC287">
    <cfRule type="cellIs" dxfId="7930" priority="9472" operator="between">
      <formula>0.56251</formula>
      <formula>0.7125</formula>
    </cfRule>
    <cfRule type="cellIs" dxfId="7929" priority="9473" operator="between">
      <formula>0.3751</formula>
      <formula>0.5625</formula>
    </cfRule>
    <cfRule type="cellIs" dxfId="7928" priority="9474" operator="greaterThan">
      <formula>0.751</formula>
    </cfRule>
    <cfRule type="cellIs" dxfId="7927" priority="9475" operator="between">
      <formula>0.71251</formula>
      <formula>0.75</formula>
    </cfRule>
    <cfRule type="cellIs" dxfId="7926" priority="9476" stopIfTrue="1" operator="between">
      <formula>0</formula>
      <formula>0.375</formula>
    </cfRule>
  </conditionalFormatting>
  <conditionalFormatting sqref="S288:S290">
    <cfRule type="cellIs" dxfId="7925" priority="9424" operator="between">
      <formula>0.76</formula>
      <formula>0.95</formula>
    </cfRule>
    <cfRule type="cellIs" dxfId="7924" priority="9425" operator="between">
      <formula>0.51</formula>
      <formula>0.75</formula>
    </cfRule>
    <cfRule type="cellIs" dxfId="7923" priority="9426" operator="greaterThan">
      <formula>1</formula>
    </cfRule>
    <cfRule type="cellIs" dxfId="7922" priority="9427" operator="between">
      <formula>0.95</formula>
      <formula>1</formula>
    </cfRule>
    <cfRule type="cellIs" dxfId="7921" priority="9428" stopIfTrue="1" operator="between">
      <formula>0</formula>
      <formula>0.5</formula>
    </cfRule>
  </conditionalFormatting>
  <conditionalFormatting sqref="Y288:Y290 AF288:AF290 R288:R290 AH288:AI290">
    <cfRule type="cellIs" dxfId="7920" priority="9467" operator="between">
      <formula>0.76</formula>
      <formula>0.95</formula>
    </cfRule>
    <cfRule type="cellIs" dxfId="7919" priority="9468" operator="between">
      <formula>0.51</formula>
      <formula>0.75</formula>
    </cfRule>
    <cfRule type="cellIs" dxfId="7918" priority="9469" operator="greaterThan">
      <formula>1</formula>
    </cfRule>
    <cfRule type="cellIs" dxfId="7917" priority="9470" operator="between">
      <formula>0.95</formula>
      <formula>1</formula>
    </cfRule>
    <cfRule type="cellIs" dxfId="7916" priority="9471" stopIfTrue="1" operator="between">
      <formula>0</formula>
      <formula>0.5</formula>
    </cfRule>
  </conditionalFormatting>
  <conditionalFormatting sqref="T288:T290">
    <cfRule type="cellIs" dxfId="7915" priority="9462" operator="between">
      <formula>0.3751</formula>
      <formula>0.475</formula>
    </cfRule>
    <cfRule type="cellIs" dxfId="7914" priority="9463" operator="between">
      <formula>0.2551</formula>
      <formula>0.375</formula>
    </cfRule>
    <cfRule type="cellIs" dxfId="7913" priority="9464" operator="greaterThan">
      <formula>0.505</formula>
    </cfRule>
    <cfRule type="cellIs" dxfId="7912" priority="9465" operator="between">
      <formula>0.48</formula>
      <formula>0.5</formula>
    </cfRule>
    <cfRule type="cellIs" dxfId="7911" priority="9466" stopIfTrue="1" operator="between">
      <formula>0</formula>
      <formula>0.255</formula>
    </cfRule>
  </conditionalFormatting>
  <conditionalFormatting sqref="AA288:AB290">
    <cfRule type="cellIs" dxfId="7910" priority="9457" operator="between">
      <formula>0.56251</formula>
      <formula>0.7125</formula>
    </cfRule>
    <cfRule type="cellIs" dxfId="7909" priority="9458" operator="between">
      <formula>0.3751</formula>
      <formula>0.5625</formula>
    </cfRule>
    <cfRule type="cellIs" dxfId="7908" priority="9459" operator="greaterThan">
      <formula>0.751</formula>
    </cfRule>
    <cfRule type="cellIs" dxfId="7907" priority="9460" operator="between">
      <formula>0.71251</formula>
      <formula>0.75</formula>
    </cfRule>
    <cfRule type="cellIs" dxfId="7906" priority="9461" stopIfTrue="1" operator="between">
      <formula>0</formula>
      <formula>0.375</formula>
    </cfRule>
  </conditionalFormatting>
  <conditionalFormatting sqref="U288:U290">
    <cfRule type="cellIs" dxfId="7905" priority="9447" operator="between">
      <formula>0.376</formula>
      <formula>0.475</formula>
    </cfRule>
    <cfRule type="cellIs" dxfId="7904" priority="9448" operator="between">
      <formula>0.2551</formula>
      <formula>0.3751</formula>
    </cfRule>
    <cfRule type="cellIs" dxfId="7903" priority="9449" operator="greaterThan">
      <formula>0.505</formula>
    </cfRule>
    <cfRule type="cellIs" dxfId="7902" priority="9450" operator="between">
      <formula>0.48</formula>
      <formula>0.5</formula>
    </cfRule>
    <cfRule type="cellIs" dxfId="7901" priority="9451" stopIfTrue="1" operator="between">
      <formula>0</formula>
      <formula>0.255</formula>
    </cfRule>
  </conditionalFormatting>
  <conditionalFormatting sqref="AG288:AG290">
    <cfRule type="cellIs" dxfId="7900" priority="9439" operator="between">
      <formula>0.76</formula>
      <formula>0.95</formula>
    </cfRule>
    <cfRule type="cellIs" dxfId="7899" priority="9440" operator="between">
      <formula>0.51</formula>
      <formula>0.75</formula>
    </cfRule>
    <cfRule type="cellIs" dxfId="7898" priority="9441" operator="greaterThan">
      <formula>1</formula>
    </cfRule>
    <cfRule type="cellIs" dxfId="7897" priority="9442" operator="between">
      <formula>0.95</formula>
      <formula>1</formula>
    </cfRule>
    <cfRule type="cellIs" dxfId="7896" priority="9443" stopIfTrue="1" operator="between">
      <formula>0</formula>
      <formula>0.5</formula>
    </cfRule>
  </conditionalFormatting>
  <conditionalFormatting sqref="V288:V290">
    <cfRule type="cellIs" dxfId="7895" priority="9419" operator="between">
      <formula>0.376</formula>
      <formula>0.475</formula>
    </cfRule>
    <cfRule type="cellIs" dxfId="7894" priority="9420" operator="between">
      <formula>0.2551</formula>
      <formula>0.3751</formula>
    </cfRule>
    <cfRule type="cellIs" dxfId="7893" priority="9421" operator="greaterThan">
      <formula>0.505</formula>
    </cfRule>
    <cfRule type="cellIs" dxfId="7892" priority="9422" operator="between">
      <formula>0.48</formula>
      <formula>0.5</formula>
    </cfRule>
    <cfRule type="cellIs" dxfId="7891" priority="9423" stopIfTrue="1" operator="between">
      <formula>0</formula>
      <formula>0.255</formula>
    </cfRule>
  </conditionalFormatting>
  <conditionalFormatting sqref="Z288:Z289">
    <cfRule type="cellIs" dxfId="7890" priority="9414" operator="between">
      <formula>0.76</formula>
      <formula>0.95</formula>
    </cfRule>
    <cfRule type="cellIs" dxfId="7889" priority="9415" operator="between">
      <formula>0.51</formula>
      <formula>0.75</formula>
    </cfRule>
    <cfRule type="cellIs" dxfId="7888" priority="9416" operator="greaterThan">
      <formula>1</formula>
    </cfRule>
    <cfRule type="cellIs" dxfId="7887" priority="9417" operator="between">
      <formula>0.95</formula>
      <formula>1</formula>
    </cfRule>
    <cfRule type="cellIs" dxfId="7886" priority="9418" stopIfTrue="1" operator="between">
      <formula>0</formula>
      <formula>0.5</formula>
    </cfRule>
  </conditionalFormatting>
  <conditionalFormatting sqref="AC288:AC290">
    <cfRule type="cellIs" dxfId="7885" priority="9409" operator="between">
      <formula>0.56251</formula>
      <formula>0.7125</formula>
    </cfRule>
    <cfRule type="cellIs" dxfId="7884" priority="9410" operator="between">
      <formula>0.3751</formula>
      <formula>0.5625</formula>
    </cfRule>
    <cfRule type="cellIs" dxfId="7883" priority="9411" operator="greaterThan">
      <formula>0.751</formula>
    </cfRule>
    <cfRule type="cellIs" dxfId="7882" priority="9412" operator="between">
      <formula>0.71251</formula>
      <formula>0.75</formula>
    </cfRule>
    <cfRule type="cellIs" dxfId="7881" priority="9413" stopIfTrue="1" operator="between">
      <formula>0</formula>
      <formula>0.375</formula>
    </cfRule>
  </conditionalFormatting>
  <conditionalFormatting sqref="AI353">
    <cfRule type="cellIs" dxfId="7880" priority="9404" operator="between">
      <formula>0.76</formula>
      <formula>0.95</formula>
    </cfRule>
    <cfRule type="cellIs" dxfId="7879" priority="9405" operator="between">
      <formula>0.51</formula>
      <formula>0.75</formula>
    </cfRule>
    <cfRule type="cellIs" dxfId="7878" priority="9406" operator="greaterThan">
      <formula>1</formula>
    </cfRule>
    <cfRule type="cellIs" dxfId="7877" priority="9407" operator="between">
      <formula>0.95</formula>
      <formula>1</formula>
    </cfRule>
    <cfRule type="cellIs" dxfId="7876" priority="9408" stopIfTrue="1" operator="between">
      <formula>0</formula>
      <formula>0.5</formula>
    </cfRule>
  </conditionalFormatting>
  <conditionalFormatting sqref="R353">
    <cfRule type="cellIs" dxfId="7875" priority="9394" operator="between">
      <formula>0.76</formula>
      <formula>0.95</formula>
    </cfRule>
    <cfRule type="cellIs" dxfId="7874" priority="9395" operator="between">
      <formula>0.51</formula>
      <formula>0.75</formula>
    </cfRule>
    <cfRule type="cellIs" dxfId="7873" priority="9396" operator="greaterThan">
      <formula>1</formula>
    </cfRule>
    <cfRule type="cellIs" dxfId="7872" priority="9397" operator="between">
      <formula>0.95</formula>
      <formula>1</formula>
    </cfRule>
    <cfRule type="cellIs" dxfId="7871" priority="9398" stopIfTrue="1" operator="between">
      <formula>0</formula>
      <formula>0.5</formula>
    </cfRule>
  </conditionalFormatting>
  <conditionalFormatting sqref="Y353">
    <cfRule type="cellIs" dxfId="7870" priority="9389" operator="between">
      <formula>0.76</formula>
      <formula>0.95</formula>
    </cfRule>
    <cfRule type="cellIs" dxfId="7869" priority="9390" operator="between">
      <formula>0.51</formula>
      <formula>0.75</formula>
    </cfRule>
    <cfRule type="cellIs" dxfId="7868" priority="9391" operator="greaterThan">
      <formula>1</formula>
    </cfRule>
    <cfRule type="cellIs" dxfId="7867" priority="9392" operator="between">
      <formula>0.95</formula>
      <formula>1</formula>
    </cfRule>
    <cfRule type="cellIs" dxfId="7866" priority="9393" stopIfTrue="1" operator="between">
      <formula>0</formula>
      <formula>0.5</formula>
    </cfRule>
  </conditionalFormatting>
  <conditionalFormatting sqref="AF353">
    <cfRule type="cellIs" dxfId="7865" priority="9384" operator="between">
      <formula>0.76</formula>
      <formula>0.95</formula>
    </cfRule>
    <cfRule type="cellIs" dxfId="7864" priority="9385" operator="between">
      <formula>0.51</formula>
      <formula>0.75</formula>
    </cfRule>
    <cfRule type="cellIs" dxfId="7863" priority="9386" operator="greaterThan">
      <formula>1</formula>
    </cfRule>
    <cfRule type="cellIs" dxfId="7862" priority="9387" operator="between">
      <formula>0.95</formula>
      <formula>1</formula>
    </cfRule>
    <cfRule type="cellIs" dxfId="7861" priority="9388" stopIfTrue="1" operator="between">
      <formula>0</formula>
      <formula>0.5</formula>
    </cfRule>
  </conditionalFormatting>
  <conditionalFormatting sqref="AH353">
    <cfRule type="cellIs" dxfId="7860" priority="9379" operator="between">
      <formula>0.76</formula>
      <formula>0.95</formula>
    </cfRule>
    <cfRule type="cellIs" dxfId="7859" priority="9380" operator="between">
      <formula>0.51</formula>
      <formula>0.75</formula>
    </cfRule>
    <cfRule type="cellIs" dxfId="7858" priority="9381" operator="greaterThan">
      <formula>1</formula>
    </cfRule>
    <cfRule type="cellIs" dxfId="7857" priority="9382" operator="between">
      <formula>0.95</formula>
      <formula>1</formula>
    </cfRule>
    <cfRule type="cellIs" dxfId="7856" priority="9383" stopIfTrue="1" operator="between">
      <formula>0</formula>
      <formula>0.5</formula>
    </cfRule>
  </conditionalFormatting>
  <conditionalFormatting sqref="T353">
    <cfRule type="cellIs" dxfId="7855" priority="9364" operator="between">
      <formula>0.3751</formula>
      <formula>0.475</formula>
    </cfRule>
    <cfRule type="cellIs" dxfId="7854" priority="9365" operator="between">
      <formula>0.2551</formula>
      <formula>0.375</formula>
    </cfRule>
    <cfRule type="cellIs" dxfId="7853" priority="9366" operator="greaterThan">
      <formula>0.505</formula>
    </cfRule>
    <cfRule type="cellIs" dxfId="7852" priority="9367" operator="between">
      <formula>0.48</formula>
      <formula>0.5</formula>
    </cfRule>
    <cfRule type="cellIs" dxfId="7851" priority="9368" stopIfTrue="1" operator="between">
      <formula>0</formula>
      <formula>0.255</formula>
    </cfRule>
  </conditionalFormatting>
  <conditionalFormatting sqref="U353">
    <cfRule type="cellIs" dxfId="7850" priority="9359" operator="between">
      <formula>0.376</formula>
      <formula>0.475</formula>
    </cfRule>
    <cfRule type="cellIs" dxfId="7849" priority="9360" operator="between">
      <formula>0.2551</formula>
      <formula>0.3751</formula>
    </cfRule>
    <cfRule type="cellIs" dxfId="7848" priority="9361" operator="greaterThan">
      <formula>0.505</formula>
    </cfRule>
    <cfRule type="cellIs" dxfId="7847" priority="9362" operator="between">
      <formula>0.48</formula>
      <formula>0.5</formula>
    </cfRule>
    <cfRule type="cellIs" dxfId="7846" priority="9363" stopIfTrue="1" operator="between">
      <formula>0</formula>
      <formula>0.255</formula>
    </cfRule>
  </conditionalFormatting>
  <conditionalFormatting sqref="AA353">
    <cfRule type="cellIs" dxfId="7845" priority="9354" operator="between">
      <formula>0.56251</formula>
      <formula>0.7125</formula>
    </cfRule>
    <cfRule type="cellIs" dxfId="7844" priority="9355" operator="between">
      <formula>0.3751</formula>
      <formula>0.5625</formula>
    </cfRule>
    <cfRule type="cellIs" dxfId="7843" priority="9356" operator="greaterThan">
      <formula>0.751</formula>
    </cfRule>
    <cfRule type="cellIs" dxfId="7842" priority="9357" operator="between">
      <formula>0.71251</formula>
      <formula>0.75</formula>
    </cfRule>
    <cfRule type="cellIs" dxfId="7841" priority="9358" stopIfTrue="1" operator="between">
      <formula>0</formula>
      <formula>0.375</formula>
    </cfRule>
  </conditionalFormatting>
  <conditionalFormatting sqref="AB353">
    <cfRule type="cellIs" dxfId="7840" priority="9349" operator="between">
      <formula>0.56251</formula>
      <formula>0.7125</formula>
    </cfRule>
    <cfRule type="cellIs" dxfId="7839" priority="9350" operator="between">
      <formula>0.3751</formula>
      <formula>0.5625</formula>
    </cfRule>
    <cfRule type="cellIs" dxfId="7838" priority="9351" operator="greaterThan">
      <formula>0.751</formula>
    </cfRule>
    <cfRule type="cellIs" dxfId="7837" priority="9352" operator="between">
      <formula>0.71251</formula>
      <formula>0.75</formula>
    </cfRule>
    <cfRule type="cellIs" dxfId="7836" priority="9353" stopIfTrue="1" operator="between">
      <formula>0</formula>
      <formula>0.375</formula>
    </cfRule>
  </conditionalFormatting>
  <conditionalFormatting sqref="S353">
    <cfRule type="cellIs" dxfId="7835" priority="9317" operator="between">
      <formula>0.76</formula>
      <formula>0.95</formula>
    </cfRule>
    <cfRule type="cellIs" dxfId="7834" priority="9318" operator="between">
      <formula>0.51</formula>
      <formula>0.75</formula>
    </cfRule>
    <cfRule type="cellIs" dxfId="7833" priority="9319" operator="greaterThan">
      <formula>1</formula>
    </cfRule>
    <cfRule type="cellIs" dxfId="7832" priority="9320" operator="between">
      <formula>0.95</formula>
      <formula>1</formula>
    </cfRule>
    <cfRule type="cellIs" dxfId="7831" priority="9321" stopIfTrue="1" operator="between">
      <formula>0</formula>
      <formula>0.5</formula>
    </cfRule>
  </conditionalFormatting>
  <conditionalFormatting sqref="V353">
    <cfRule type="cellIs" dxfId="7830" priority="9312" operator="between">
      <formula>0.376</formula>
      <formula>0.475</formula>
    </cfRule>
    <cfRule type="cellIs" dxfId="7829" priority="9313" operator="between">
      <formula>0.2551</formula>
      <formula>0.3751</formula>
    </cfRule>
    <cfRule type="cellIs" dxfId="7828" priority="9314" operator="greaterThan">
      <formula>0.505</formula>
    </cfRule>
    <cfRule type="cellIs" dxfId="7827" priority="9315" operator="between">
      <formula>0.48</formula>
      <formula>0.5</formula>
    </cfRule>
    <cfRule type="cellIs" dxfId="7826" priority="9316" stopIfTrue="1" operator="between">
      <formula>0</formula>
      <formula>0.255</formula>
    </cfRule>
  </conditionalFormatting>
  <conditionalFormatting sqref="Z353">
    <cfRule type="cellIs" dxfId="7825" priority="9307" operator="between">
      <formula>0.76</formula>
      <formula>0.95</formula>
    </cfRule>
    <cfRule type="cellIs" dxfId="7824" priority="9308" operator="between">
      <formula>0.51</formula>
      <formula>0.75</formula>
    </cfRule>
    <cfRule type="cellIs" dxfId="7823" priority="9309" operator="greaterThan">
      <formula>1</formula>
    </cfRule>
    <cfRule type="cellIs" dxfId="7822" priority="9310" operator="between">
      <formula>0.95</formula>
      <formula>1</formula>
    </cfRule>
    <cfRule type="cellIs" dxfId="7821" priority="9311" stopIfTrue="1" operator="between">
      <formula>0</formula>
      <formula>0.5</formula>
    </cfRule>
  </conditionalFormatting>
  <conditionalFormatting sqref="AC353">
    <cfRule type="cellIs" dxfId="7820" priority="9302" operator="between">
      <formula>0.56251</formula>
      <formula>0.7125</formula>
    </cfRule>
    <cfRule type="cellIs" dxfId="7819" priority="9303" operator="between">
      <formula>0.3751</formula>
      <formula>0.5625</formula>
    </cfRule>
    <cfRule type="cellIs" dxfId="7818" priority="9304" operator="greaterThan">
      <formula>0.751</formula>
    </cfRule>
    <cfRule type="cellIs" dxfId="7817" priority="9305" operator="between">
      <formula>0.71251</formula>
      <formula>0.75</formula>
    </cfRule>
    <cfRule type="cellIs" dxfId="7816" priority="9306" stopIfTrue="1" operator="between">
      <formula>0</formula>
      <formula>0.375</formula>
    </cfRule>
  </conditionalFormatting>
  <conditionalFormatting sqref="AI354">
    <cfRule type="cellIs" dxfId="7815" priority="9297" operator="between">
      <formula>0.76</formula>
      <formula>0.95</formula>
    </cfRule>
    <cfRule type="cellIs" dxfId="7814" priority="9298" operator="between">
      <formula>0.51</formula>
      <formula>0.75</formula>
    </cfRule>
    <cfRule type="cellIs" dxfId="7813" priority="9299" operator="greaterThan">
      <formula>1</formula>
    </cfRule>
    <cfRule type="cellIs" dxfId="7812" priority="9300" operator="between">
      <formula>0.95</formula>
      <formula>1</formula>
    </cfRule>
    <cfRule type="cellIs" dxfId="7811" priority="9301" stopIfTrue="1" operator="between">
      <formula>0</formula>
      <formula>0.5</formula>
    </cfRule>
  </conditionalFormatting>
  <conditionalFormatting sqref="R354">
    <cfRule type="cellIs" dxfId="7810" priority="9287" operator="between">
      <formula>0.76</formula>
      <formula>0.95</formula>
    </cfRule>
    <cfRule type="cellIs" dxfId="7809" priority="9288" operator="between">
      <formula>0.51</formula>
      <formula>0.75</formula>
    </cfRule>
    <cfRule type="cellIs" dxfId="7808" priority="9289" operator="greaterThan">
      <formula>1</formula>
    </cfRule>
    <cfRule type="cellIs" dxfId="7807" priority="9290" operator="between">
      <formula>0.95</formula>
      <formula>1</formula>
    </cfRule>
    <cfRule type="cellIs" dxfId="7806" priority="9291" stopIfTrue="1" operator="between">
      <formula>0</formula>
      <formula>0.5</formula>
    </cfRule>
  </conditionalFormatting>
  <conditionalFormatting sqref="Y354">
    <cfRule type="cellIs" dxfId="7805" priority="9282" operator="between">
      <formula>0.76</formula>
      <formula>0.95</formula>
    </cfRule>
    <cfRule type="cellIs" dxfId="7804" priority="9283" operator="between">
      <formula>0.51</formula>
      <formula>0.75</formula>
    </cfRule>
    <cfRule type="cellIs" dxfId="7803" priority="9284" operator="greaterThan">
      <formula>1</formula>
    </cfRule>
    <cfRule type="cellIs" dxfId="7802" priority="9285" operator="between">
      <formula>0.95</formula>
      <formula>1</formula>
    </cfRule>
    <cfRule type="cellIs" dxfId="7801" priority="9286" stopIfTrue="1" operator="between">
      <formula>0</formula>
      <formula>0.5</formula>
    </cfRule>
  </conditionalFormatting>
  <conditionalFormatting sqref="AF354">
    <cfRule type="cellIs" dxfId="7800" priority="9277" operator="between">
      <formula>0.76</formula>
      <formula>0.95</formula>
    </cfRule>
    <cfRule type="cellIs" dxfId="7799" priority="9278" operator="between">
      <formula>0.51</formula>
      <formula>0.75</formula>
    </cfRule>
    <cfRule type="cellIs" dxfId="7798" priority="9279" operator="greaterThan">
      <formula>1</formula>
    </cfRule>
    <cfRule type="cellIs" dxfId="7797" priority="9280" operator="between">
      <formula>0.95</formula>
      <formula>1</formula>
    </cfRule>
    <cfRule type="cellIs" dxfId="7796" priority="9281" stopIfTrue="1" operator="between">
      <formula>0</formula>
      <formula>0.5</formula>
    </cfRule>
  </conditionalFormatting>
  <conditionalFormatting sqref="AH354">
    <cfRule type="cellIs" dxfId="7795" priority="9272" operator="between">
      <formula>0.76</formula>
      <formula>0.95</formula>
    </cfRule>
    <cfRule type="cellIs" dxfId="7794" priority="9273" operator="between">
      <formula>0.51</formula>
      <formula>0.75</formula>
    </cfRule>
    <cfRule type="cellIs" dxfId="7793" priority="9274" operator="greaterThan">
      <formula>1</formula>
    </cfRule>
    <cfRule type="cellIs" dxfId="7792" priority="9275" operator="between">
      <formula>0.95</formula>
      <formula>1</formula>
    </cfRule>
    <cfRule type="cellIs" dxfId="7791" priority="9276" stopIfTrue="1" operator="between">
      <formula>0</formula>
      <formula>0.5</formula>
    </cfRule>
  </conditionalFormatting>
  <conditionalFormatting sqref="T354">
    <cfRule type="cellIs" dxfId="7790" priority="9257" operator="between">
      <formula>0.3751</formula>
      <formula>0.475</formula>
    </cfRule>
    <cfRule type="cellIs" dxfId="7789" priority="9258" operator="between">
      <formula>0.2551</formula>
      <formula>0.375</formula>
    </cfRule>
    <cfRule type="cellIs" dxfId="7788" priority="9259" operator="greaterThan">
      <formula>0.505</formula>
    </cfRule>
    <cfRule type="cellIs" dxfId="7787" priority="9260" operator="between">
      <formula>0.48</formula>
      <formula>0.5</formula>
    </cfRule>
    <cfRule type="cellIs" dxfId="7786" priority="9261" stopIfTrue="1" operator="between">
      <formula>0</formula>
      <formula>0.255</formula>
    </cfRule>
  </conditionalFormatting>
  <conditionalFormatting sqref="U354">
    <cfRule type="cellIs" dxfId="7785" priority="9252" operator="between">
      <formula>0.376</formula>
      <formula>0.475</formula>
    </cfRule>
    <cfRule type="cellIs" dxfId="7784" priority="9253" operator="between">
      <formula>0.2551</formula>
      <formula>0.3751</formula>
    </cfRule>
    <cfRule type="cellIs" dxfId="7783" priority="9254" operator="greaterThan">
      <formula>0.505</formula>
    </cfRule>
    <cfRule type="cellIs" dxfId="7782" priority="9255" operator="between">
      <formula>0.48</formula>
      <formula>0.5</formula>
    </cfRule>
    <cfRule type="cellIs" dxfId="7781" priority="9256" stopIfTrue="1" operator="between">
      <formula>0</formula>
      <formula>0.255</formula>
    </cfRule>
  </conditionalFormatting>
  <conditionalFormatting sqref="AA354">
    <cfRule type="cellIs" dxfId="7780" priority="9247" operator="between">
      <formula>0.56251</formula>
      <formula>0.7125</formula>
    </cfRule>
    <cfRule type="cellIs" dxfId="7779" priority="9248" operator="between">
      <formula>0.3751</formula>
      <formula>0.5625</formula>
    </cfRule>
    <cfRule type="cellIs" dxfId="7778" priority="9249" operator="greaterThan">
      <formula>0.751</formula>
    </cfRule>
    <cfRule type="cellIs" dxfId="7777" priority="9250" operator="between">
      <formula>0.71251</formula>
      <formula>0.75</formula>
    </cfRule>
    <cfRule type="cellIs" dxfId="7776" priority="9251" stopIfTrue="1" operator="between">
      <formula>0</formula>
      <formula>0.375</formula>
    </cfRule>
  </conditionalFormatting>
  <conditionalFormatting sqref="AB354">
    <cfRule type="cellIs" dxfId="7775" priority="9242" operator="between">
      <formula>0.56251</formula>
      <formula>0.7125</formula>
    </cfRule>
    <cfRule type="cellIs" dxfId="7774" priority="9243" operator="between">
      <formula>0.3751</formula>
      <formula>0.5625</formula>
    </cfRule>
    <cfRule type="cellIs" dxfId="7773" priority="9244" operator="greaterThan">
      <formula>0.751</formula>
    </cfRule>
    <cfRule type="cellIs" dxfId="7772" priority="9245" operator="between">
      <formula>0.71251</formula>
      <formula>0.75</formula>
    </cfRule>
    <cfRule type="cellIs" dxfId="7771" priority="9246" stopIfTrue="1" operator="between">
      <formula>0</formula>
      <formula>0.375</formula>
    </cfRule>
  </conditionalFormatting>
  <conditionalFormatting sqref="S354">
    <cfRule type="cellIs" dxfId="7770" priority="9210" operator="between">
      <formula>0.76</formula>
      <formula>0.95</formula>
    </cfRule>
    <cfRule type="cellIs" dxfId="7769" priority="9211" operator="between">
      <formula>0.51</formula>
      <formula>0.75</formula>
    </cfRule>
    <cfRule type="cellIs" dxfId="7768" priority="9212" operator="greaterThan">
      <formula>1</formula>
    </cfRule>
    <cfRule type="cellIs" dxfId="7767" priority="9213" operator="between">
      <formula>0.95</formula>
      <formula>1</formula>
    </cfRule>
    <cfRule type="cellIs" dxfId="7766" priority="9214" stopIfTrue="1" operator="between">
      <formula>0</formula>
      <formula>0.5</formula>
    </cfRule>
  </conditionalFormatting>
  <conditionalFormatting sqref="V354">
    <cfRule type="cellIs" dxfId="7765" priority="9205" operator="between">
      <formula>0.376</formula>
      <formula>0.475</formula>
    </cfRule>
    <cfRule type="cellIs" dxfId="7764" priority="9206" operator="between">
      <formula>0.2551</formula>
      <formula>0.3751</formula>
    </cfRule>
    <cfRule type="cellIs" dxfId="7763" priority="9207" operator="greaterThan">
      <formula>0.505</formula>
    </cfRule>
    <cfRule type="cellIs" dxfId="7762" priority="9208" operator="between">
      <formula>0.48</formula>
      <formula>0.5</formula>
    </cfRule>
    <cfRule type="cellIs" dxfId="7761" priority="9209" stopIfTrue="1" operator="between">
      <formula>0</formula>
      <formula>0.255</formula>
    </cfRule>
  </conditionalFormatting>
  <conditionalFormatting sqref="S197:S198">
    <cfRule type="cellIs" dxfId="7760" priority="8421" operator="between">
      <formula>0.76</formula>
      <formula>0.95</formula>
    </cfRule>
    <cfRule type="cellIs" dxfId="7759" priority="8422" operator="between">
      <formula>0.51</formula>
      <formula>0.75</formula>
    </cfRule>
    <cfRule type="cellIs" dxfId="7758" priority="8423" operator="greaterThan">
      <formula>1</formula>
    </cfRule>
    <cfRule type="cellIs" dxfId="7757" priority="8424" operator="between">
      <formula>0.95</formula>
      <formula>1</formula>
    </cfRule>
    <cfRule type="cellIs" dxfId="7756" priority="8425" stopIfTrue="1" operator="between">
      <formula>0</formula>
      <formula>0.5</formula>
    </cfRule>
  </conditionalFormatting>
  <conditionalFormatting sqref="AC354">
    <cfRule type="cellIs" dxfId="7755" priority="9195" operator="between">
      <formula>0.56251</formula>
      <formula>0.7125</formula>
    </cfRule>
    <cfRule type="cellIs" dxfId="7754" priority="9196" operator="between">
      <formula>0.3751</formula>
      <formula>0.5625</formula>
    </cfRule>
    <cfRule type="cellIs" dxfId="7753" priority="9197" operator="greaterThan">
      <formula>0.751</formula>
    </cfRule>
    <cfRule type="cellIs" dxfId="7752" priority="9198" operator="between">
      <formula>0.71251</formula>
      <formula>0.75</formula>
    </cfRule>
    <cfRule type="cellIs" dxfId="7751" priority="9199" stopIfTrue="1" operator="between">
      <formula>0</formula>
      <formula>0.375</formula>
    </cfRule>
  </conditionalFormatting>
  <conditionalFormatting sqref="Z354">
    <cfRule type="cellIs" dxfId="7750" priority="9180" operator="between">
      <formula>0.76</formula>
      <formula>0.95</formula>
    </cfRule>
    <cfRule type="cellIs" dxfId="7749" priority="9181" operator="between">
      <formula>0.51</formula>
      <formula>0.75</formula>
    </cfRule>
    <cfRule type="cellIs" dxfId="7748" priority="9182" operator="greaterThan">
      <formula>1</formula>
    </cfRule>
    <cfRule type="cellIs" dxfId="7747" priority="9183" operator="between">
      <formula>0.95</formula>
      <formula>1</formula>
    </cfRule>
    <cfRule type="cellIs" dxfId="7746" priority="9184" stopIfTrue="1" operator="between">
      <formula>0</formula>
      <formula>0.5</formula>
    </cfRule>
  </conditionalFormatting>
  <conditionalFormatting sqref="AG354">
    <cfRule type="cellIs" dxfId="7745" priority="9175" operator="between">
      <formula>0.76</formula>
      <formula>0.95</formula>
    </cfRule>
    <cfRule type="cellIs" dxfId="7744" priority="9176" operator="between">
      <formula>0.51</formula>
      <formula>0.75</formula>
    </cfRule>
    <cfRule type="cellIs" dxfId="7743" priority="9177" operator="greaterThan">
      <formula>1</formula>
    </cfRule>
    <cfRule type="cellIs" dxfId="7742" priority="9178" operator="between">
      <formula>0.95</formula>
      <formula>1</formula>
    </cfRule>
    <cfRule type="cellIs" dxfId="7741" priority="9179" stopIfTrue="1" operator="between">
      <formula>0</formula>
      <formula>0.5</formula>
    </cfRule>
  </conditionalFormatting>
  <conditionalFormatting sqref="AI355 AI357">
    <cfRule type="cellIs" dxfId="7740" priority="9170" operator="between">
      <formula>0.76</formula>
      <formula>0.95</formula>
    </cfRule>
    <cfRule type="cellIs" dxfId="7739" priority="9171" operator="between">
      <formula>0.51</formula>
      <formula>0.75</formula>
    </cfRule>
    <cfRule type="cellIs" dxfId="7738" priority="9172" operator="greaterThan">
      <formula>1</formula>
    </cfRule>
    <cfRule type="cellIs" dxfId="7737" priority="9173" operator="between">
      <formula>0.95</formula>
      <formula>1</formula>
    </cfRule>
    <cfRule type="cellIs" dxfId="7736" priority="9174" stopIfTrue="1" operator="between">
      <formula>0</formula>
      <formula>0.5</formula>
    </cfRule>
  </conditionalFormatting>
  <conditionalFormatting sqref="R355 R357">
    <cfRule type="cellIs" dxfId="7735" priority="9160" operator="between">
      <formula>0.76</formula>
      <formula>0.95</formula>
    </cfRule>
    <cfRule type="cellIs" dxfId="7734" priority="9161" operator="between">
      <formula>0.51</formula>
      <formula>0.75</formula>
    </cfRule>
    <cfRule type="cellIs" dxfId="7733" priority="9162" operator="greaterThan">
      <formula>1</formula>
    </cfRule>
    <cfRule type="cellIs" dxfId="7732" priority="9163" operator="between">
      <formula>0.95</formula>
      <formula>1</formula>
    </cfRule>
    <cfRule type="cellIs" dxfId="7731" priority="9164" stopIfTrue="1" operator="between">
      <formula>0</formula>
      <formula>0.5</formula>
    </cfRule>
  </conditionalFormatting>
  <conditionalFormatting sqref="Y355 Y357">
    <cfRule type="cellIs" dxfId="7730" priority="9155" operator="between">
      <formula>0.76</formula>
      <formula>0.95</formula>
    </cfRule>
    <cfRule type="cellIs" dxfId="7729" priority="9156" operator="between">
      <formula>0.51</formula>
      <formula>0.75</formula>
    </cfRule>
    <cfRule type="cellIs" dxfId="7728" priority="9157" operator="greaterThan">
      <formula>1</formula>
    </cfRule>
    <cfRule type="cellIs" dxfId="7727" priority="9158" operator="between">
      <formula>0.95</formula>
      <formula>1</formula>
    </cfRule>
    <cfRule type="cellIs" dxfId="7726" priority="9159" stopIfTrue="1" operator="between">
      <formula>0</formula>
      <formula>0.5</formula>
    </cfRule>
  </conditionalFormatting>
  <conditionalFormatting sqref="AF355 AF357">
    <cfRule type="cellIs" dxfId="7725" priority="9150" operator="between">
      <formula>0.76</formula>
      <formula>0.95</formula>
    </cfRule>
    <cfRule type="cellIs" dxfId="7724" priority="9151" operator="between">
      <formula>0.51</formula>
      <formula>0.75</formula>
    </cfRule>
    <cfRule type="cellIs" dxfId="7723" priority="9152" operator="greaterThan">
      <formula>1</formula>
    </cfRule>
    <cfRule type="cellIs" dxfId="7722" priority="9153" operator="between">
      <formula>0.95</formula>
      <formula>1</formula>
    </cfRule>
    <cfRule type="cellIs" dxfId="7721" priority="9154" stopIfTrue="1" operator="between">
      <formula>0</formula>
      <formula>0.5</formula>
    </cfRule>
  </conditionalFormatting>
  <conditionalFormatting sqref="AH355 AH357">
    <cfRule type="cellIs" dxfId="7720" priority="9145" operator="between">
      <formula>0.76</formula>
      <formula>0.95</formula>
    </cfRule>
    <cfRule type="cellIs" dxfId="7719" priority="9146" operator="between">
      <formula>0.51</formula>
      <formula>0.75</formula>
    </cfRule>
    <cfRule type="cellIs" dxfId="7718" priority="9147" operator="greaterThan">
      <formula>1</formula>
    </cfRule>
    <cfRule type="cellIs" dxfId="7717" priority="9148" operator="between">
      <formula>0.95</formula>
      <formula>1</formula>
    </cfRule>
    <cfRule type="cellIs" dxfId="7716" priority="9149" stopIfTrue="1" operator="between">
      <formula>0</formula>
      <formula>0.5</formula>
    </cfRule>
  </conditionalFormatting>
  <conditionalFormatting sqref="T355 T357">
    <cfRule type="cellIs" dxfId="7715" priority="9130" operator="between">
      <formula>0.3751</formula>
      <formula>0.475</formula>
    </cfRule>
    <cfRule type="cellIs" dxfId="7714" priority="9131" operator="between">
      <formula>0.2551</formula>
      <formula>0.375</formula>
    </cfRule>
    <cfRule type="cellIs" dxfId="7713" priority="9132" operator="greaterThan">
      <formula>0.505</formula>
    </cfRule>
    <cfRule type="cellIs" dxfId="7712" priority="9133" operator="between">
      <formula>0.48</formula>
      <formula>0.5</formula>
    </cfRule>
    <cfRule type="cellIs" dxfId="7711" priority="9134" stopIfTrue="1" operator="between">
      <formula>0</formula>
      <formula>0.255</formula>
    </cfRule>
  </conditionalFormatting>
  <conditionalFormatting sqref="U355 U357">
    <cfRule type="cellIs" dxfId="7710" priority="9125" operator="between">
      <formula>0.376</formula>
      <formula>0.475</formula>
    </cfRule>
    <cfRule type="cellIs" dxfId="7709" priority="9126" operator="between">
      <formula>0.2551</formula>
      <formula>0.3751</formula>
    </cfRule>
    <cfRule type="cellIs" dxfId="7708" priority="9127" operator="greaterThan">
      <formula>0.505</formula>
    </cfRule>
    <cfRule type="cellIs" dxfId="7707" priority="9128" operator="between">
      <formula>0.48</formula>
      <formula>0.5</formula>
    </cfRule>
    <cfRule type="cellIs" dxfId="7706" priority="9129" stopIfTrue="1" operator="between">
      <formula>0</formula>
      <formula>0.255</formula>
    </cfRule>
  </conditionalFormatting>
  <conditionalFormatting sqref="AA355 AA357">
    <cfRule type="cellIs" dxfId="7705" priority="9120" operator="between">
      <formula>0.56251</formula>
      <formula>0.7125</formula>
    </cfRule>
    <cfRule type="cellIs" dxfId="7704" priority="9121" operator="between">
      <formula>0.3751</formula>
      <formula>0.5625</formula>
    </cfRule>
    <cfRule type="cellIs" dxfId="7703" priority="9122" operator="greaterThan">
      <formula>0.751</formula>
    </cfRule>
    <cfRule type="cellIs" dxfId="7702" priority="9123" operator="between">
      <formula>0.71251</formula>
      <formula>0.75</formula>
    </cfRule>
    <cfRule type="cellIs" dxfId="7701" priority="9124" stopIfTrue="1" operator="between">
      <formula>0</formula>
      <formula>0.375</formula>
    </cfRule>
  </conditionalFormatting>
  <conditionalFormatting sqref="AB355 AB357">
    <cfRule type="cellIs" dxfId="7700" priority="9115" operator="between">
      <formula>0.56251</formula>
      <formula>0.7125</formula>
    </cfRule>
    <cfRule type="cellIs" dxfId="7699" priority="9116" operator="between">
      <formula>0.3751</formula>
      <formula>0.5625</formula>
    </cfRule>
    <cfRule type="cellIs" dxfId="7698" priority="9117" operator="greaterThan">
      <formula>0.751</formula>
    </cfRule>
    <cfRule type="cellIs" dxfId="7697" priority="9118" operator="between">
      <formula>0.71251</formula>
      <formula>0.75</formula>
    </cfRule>
    <cfRule type="cellIs" dxfId="7696" priority="9119" stopIfTrue="1" operator="between">
      <formula>0</formula>
      <formula>0.375</formula>
    </cfRule>
  </conditionalFormatting>
  <conditionalFormatting sqref="S355 S357">
    <cfRule type="cellIs" dxfId="7695" priority="9098" operator="between">
      <formula>0.76</formula>
      <formula>0.95</formula>
    </cfRule>
    <cfRule type="cellIs" dxfId="7694" priority="9099" operator="between">
      <formula>0.51</formula>
      <formula>0.75</formula>
    </cfRule>
    <cfRule type="cellIs" dxfId="7693" priority="9100" operator="greaterThan">
      <formula>1</formula>
    </cfRule>
    <cfRule type="cellIs" dxfId="7692" priority="9101" operator="between">
      <formula>0.95</formula>
      <formula>1</formula>
    </cfRule>
    <cfRule type="cellIs" dxfId="7691" priority="9102" stopIfTrue="1" operator="between">
      <formula>0</formula>
      <formula>0.5</formula>
    </cfRule>
  </conditionalFormatting>
  <conditionalFormatting sqref="V355 V357">
    <cfRule type="cellIs" dxfId="7690" priority="9093" operator="between">
      <formula>0.376</formula>
      <formula>0.475</formula>
    </cfRule>
    <cfRule type="cellIs" dxfId="7689" priority="9094" operator="between">
      <formula>0.2551</formula>
      <formula>0.3751</formula>
    </cfRule>
    <cfRule type="cellIs" dxfId="7688" priority="9095" operator="greaterThan">
      <formula>0.505</formula>
    </cfRule>
    <cfRule type="cellIs" dxfId="7687" priority="9096" operator="between">
      <formula>0.48</formula>
      <formula>0.5</formula>
    </cfRule>
    <cfRule type="cellIs" dxfId="7686" priority="9097" stopIfTrue="1" operator="between">
      <formula>0</formula>
      <formula>0.255</formula>
    </cfRule>
  </conditionalFormatting>
  <conditionalFormatting sqref="AC355 AC357">
    <cfRule type="cellIs" dxfId="7685" priority="9088" operator="between">
      <formula>0.56251</formula>
      <formula>0.7125</formula>
    </cfRule>
    <cfRule type="cellIs" dxfId="7684" priority="9089" operator="between">
      <formula>0.3751</formula>
      <formula>0.5625</formula>
    </cfRule>
    <cfRule type="cellIs" dxfId="7683" priority="9090" operator="greaterThan">
      <formula>0.751</formula>
    </cfRule>
    <cfRule type="cellIs" dxfId="7682" priority="9091" operator="between">
      <formula>0.71251</formula>
      <formula>0.75</formula>
    </cfRule>
    <cfRule type="cellIs" dxfId="7681" priority="9092" stopIfTrue="1" operator="between">
      <formula>0</formula>
      <formula>0.375</formula>
    </cfRule>
  </conditionalFormatting>
  <conditionalFormatting sqref="Z355 Z357">
    <cfRule type="cellIs" dxfId="7680" priority="9073" operator="between">
      <formula>0.76</formula>
      <formula>0.95</formula>
    </cfRule>
    <cfRule type="cellIs" dxfId="7679" priority="9074" operator="between">
      <formula>0.51</formula>
      <formula>0.75</formula>
    </cfRule>
    <cfRule type="cellIs" dxfId="7678" priority="9075" operator="greaterThan">
      <formula>1</formula>
    </cfRule>
    <cfRule type="cellIs" dxfId="7677" priority="9076" operator="between">
      <formula>0.95</formula>
      <formula>1</formula>
    </cfRule>
    <cfRule type="cellIs" dxfId="7676" priority="9077" stopIfTrue="1" operator="between">
      <formula>0</formula>
      <formula>0.5</formula>
    </cfRule>
  </conditionalFormatting>
  <conditionalFormatting sqref="AG355 AG357">
    <cfRule type="cellIs" dxfId="7675" priority="9068" operator="between">
      <formula>0.76</formula>
      <formula>0.95</formula>
    </cfRule>
    <cfRule type="cellIs" dxfId="7674" priority="9069" operator="between">
      <formula>0.51</formula>
      <formula>0.75</formula>
    </cfRule>
    <cfRule type="cellIs" dxfId="7673" priority="9070" operator="greaterThan">
      <formula>1</formula>
    </cfRule>
    <cfRule type="cellIs" dxfId="7672" priority="9071" operator="between">
      <formula>0.95</formula>
      <formula>1</formula>
    </cfRule>
    <cfRule type="cellIs" dxfId="7671" priority="9072" stopIfTrue="1" operator="between">
      <formula>0</formula>
      <formula>0.5</formula>
    </cfRule>
  </conditionalFormatting>
  <conditionalFormatting sqref="Y297 AF297 R297 AH297:AI297">
    <cfRule type="cellIs" dxfId="7670" priority="9063" operator="between">
      <formula>0.76</formula>
      <formula>0.95</formula>
    </cfRule>
    <cfRule type="cellIs" dxfId="7669" priority="9064" operator="between">
      <formula>0.51</formula>
      <formula>0.75</formula>
    </cfRule>
    <cfRule type="cellIs" dxfId="7668" priority="9065" operator="greaterThan">
      <formula>1</formula>
    </cfRule>
    <cfRule type="cellIs" dxfId="7667" priority="9066" operator="between">
      <formula>0.95</formula>
      <formula>1</formula>
    </cfRule>
    <cfRule type="cellIs" dxfId="7666" priority="9067" stopIfTrue="1" operator="between">
      <formula>0</formula>
      <formula>0.5</formula>
    </cfRule>
  </conditionalFormatting>
  <conditionalFormatting sqref="T297">
    <cfRule type="cellIs" dxfId="7665" priority="9058" operator="between">
      <formula>0.3751</formula>
      <formula>0.475</formula>
    </cfRule>
    <cfRule type="cellIs" dxfId="7664" priority="9059" operator="between">
      <formula>0.2551</formula>
      <formula>0.375</formula>
    </cfRule>
    <cfRule type="cellIs" dxfId="7663" priority="9060" operator="greaterThan">
      <formula>0.505</formula>
    </cfRule>
    <cfRule type="cellIs" dxfId="7662" priority="9061" operator="between">
      <formula>0.48</formula>
      <formula>0.5</formula>
    </cfRule>
    <cfRule type="cellIs" dxfId="7661" priority="9062" stopIfTrue="1" operator="between">
      <formula>0</formula>
      <formula>0.255</formula>
    </cfRule>
  </conditionalFormatting>
  <conditionalFormatting sqref="AA297:AB297">
    <cfRule type="cellIs" dxfId="7660" priority="9053" operator="between">
      <formula>0.56251</formula>
      <formula>0.7125</formula>
    </cfRule>
    <cfRule type="cellIs" dxfId="7659" priority="9054" operator="between">
      <formula>0.3751</formula>
      <formula>0.5625</formula>
    </cfRule>
    <cfRule type="cellIs" dxfId="7658" priority="9055" operator="greaterThan">
      <formula>0.751</formula>
    </cfRule>
    <cfRule type="cellIs" dxfId="7657" priority="9056" operator="between">
      <formula>0.71251</formula>
      <formula>0.75</formula>
    </cfRule>
    <cfRule type="cellIs" dxfId="7656" priority="9057" stopIfTrue="1" operator="between">
      <formula>0</formula>
      <formula>0.375</formula>
    </cfRule>
  </conditionalFormatting>
  <conditionalFormatting sqref="U297">
    <cfRule type="cellIs" dxfId="7655" priority="9043" operator="between">
      <formula>0.376</formula>
      <formula>0.475</formula>
    </cfRule>
    <cfRule type="cellIs" dxfId="7654" priority="9044" operator="between">
      <formula>0.2551</formula>
      <formula>0.3751</formula>
    </cfRule>
    <cfRule type="cellIs" dxfId="7653" priority="9045" operator="greaterThan">
      <formula>0.505</formula>
    </cfRule>
    <cfRule type="cellIs" dxfId="7652" priority="9046" operator="between">
      <formula>0.48</formula>
      <formula>0.5</formula>
    </cfRule>
    <cfRule type="cellIs" dxfId="7651" priority="9047" stopIfTrue="1" operator="between">
      <formula>0</formula>
      <formula>0.255</formula>
    </cfRule>
  </conditionalFormatting>
  <conditionalFormatting sqref="AG297">
    <cfRule type="cellIs" dxfId="7650" priority="9025" operator="between">
      <formula>0.76</formula>
      <formula>0.95</formula>
    </cfRule>
    <cfRule type="cellIs" dxfId="7649" priority="9026" operator="between">
      <formula>0.51</formula>
      <formula>0.75</formula>
    </cfRule>
    <cfRule type="cellIs" dxfId="7648" priority="9027" operator="greaterThan">
      <formula>1</formula>
    </cfRule>
    <cfRule type="cellIs" dxfId="7647" priority="9028" operator="between">
      <formula>0.95</formula>
      <formula>1</formula>
    </cfRule>
    <cfRule type="cellIs" dxfId="7646" priority="9029" stopIfTrue="1" operator="between">
      <formula>0</formula>
      <formula>0.5</formula>
    </cfRule>
  </conditionalFormatting>
  <conditionalFormatting sqref="S297">
    <cfRule type="cellIs" dxfId="7645" priority="9020" operator="between">
      <formula>0.76</formula>
      <formula>0.95</formula>
    </cfRule>
    <cfRule type="cellIs" dxfId="7644" priority="9021" operator="between">
      <formula>0.51</formula>
      <formula>0.75</formula>
    </cfRule>
    <cfRule type="cellIs" dxfId="7643" priority="9022" operator="greaterThan">
      <formula>1</formula>
    </cfRule>
    <cfRule type="cellIs" dxfId="7642" priority="9023" operator="between">
      <formula>0.95</formula>
      <formula>1</formula>
    </cfRule>
    <cfRule type="cellIs" dxfId="7641" priority="9024" stopIfTrue="1" operator="between">
      <formula>0</formula>
      <formula>0.5</formula>
    </cfRule>
  </conditionalFormatting>
  <conditionalFormatting sqref="V297">
    <cfRule type="cellIs" dxfId="7640" priority="9015" operator="between">
      <formula>0.376</formula>
      <formula>0.475</formula>
    </cfRule>
    <cfRule type="cellIs" dxfId="7639" priority="9016" operator="between">
      <formula>0.2551</formula>
      <formula>0.3751</formula>
    </cfRule>
    <cfRule type="cellIs" dxfId="7638" priority="9017" operator="greaterThan">
      <formula>0.505</formula>
    </cfRule>
    <cfRule type="cellIs" dxfId="7637" priority="9018" operator="between">
      <formula>0.48</formula>
      <formula>0.5</formula>
    </cfRule>
    <cfRule type="cellIs" dxfId="7636" priority="9019" stopIfTrue="1" operator="between">
      <formula>0</formula>
      <formula>0.255</formula>
    </cfRule>
  </conditionalFormatting>
  <conditionalFormatting sqref="Z297">
    <cfRule type="cellIs" dxfId="7635" priority="9010" operator="between">
      <formula>0.76</formula>
      <formula>0.95</formula>
    </cfRule>
    <cfRule type="cellIs" dxfId="7634" priority="9011" operator="between">
      <formula>0.51</formula>
      <formula>0.75</formula>
    </cfRule>
    <cfRule type="cellIs" dxfId="7633" priority="9012" operator="greaterThan">
      <formula>1</formula>
    </cfRule>
    <cfRule type="cellIs" dxfId="7632" priority="9013" operator="between">
      <formula>0.95</formula>
      <formula>1</formula>
    </cfRule>
    <cfRule type="cellIs" dxfId="7631" priority="9014" stopIfTrue="1" operator="between">
      <formula>0</formula>
      <formula>0.5</formula>
    </cfRule>
  </conditionalFormatting>
  <conditionalFormatting sqref="AC297">
    <cfRule type="cellIs" dxfId="7630" priority="9005" operator="between">
      <formula>0.56251</formula>
      <formula>0.7125</formula>
    </cfRule>
    <cfRule type="cellIs" dxfId="7629" priority="9006" operator="between">
      <formula>0.3751</formula>
      <formula>0.5625</formula>
    </cfRule>
    <cfRule type="cellIs" dxfId="7628" priority="9007" operator="greaterThan">
      <formula>0.751</formula>
    </cfRule>
    <cfRule type="cellIs" dxfId="7627" priority="9008" operator="between">
      <formula>0.71251</formula>
      <formula>0.75</formula>
    </cfRule>
    <cfRule type="cellIs" dxfId="7626" priority="9009" stopIfTrue="1" operator="between">
      <formula>0</formula>
      <formula>0.375</formula>
    </cfRule>
  </conditionalFormatting>
  <conditionalFormatting sqref="AG296">
    <cfRule type="cellIs" dxfId="7625" priority="9000" operator="between">
      <formula>0.76</formula>
      <formula>0.95</formula>
    </cfRule>
    <cfRule type="cellIs" dxfId="7624" priority="9001" operator="between">
      <formula>0.51</formula>
      <formula>0.75</formula>
    </cfRule>
    <cfRule type="cellIs" dxfId="7623" priority="9002" operator="greaterThan">
      <formula>1</formula>
    </cfRule>
    <cfRule type="cellIs" dxfId="7622" priority="9003" operator="between">
      <formula>0.95</formula>
      <formula>1</formula>
    </cfRule>
    <cfRule type="cellIs" dxfId="7621" priority="9004" stopIfTrue="1" operator="between">
      <formula>0</formula>
      <formula>0.5</formula>
    </cfRule>
  </conditionalFormatting>
  <conditionalFormatting sqref="R194 Y194 AF194 AH194:AI194">
    <cfRule type="cellIs" dxfId="7620" priority="8995" operator="between">
      <formula>0.76</formula>
      <formula>0.95</formula>
    </cfRule>
    <cfRule type="cellIs" dxfId="7619" priority="8996" operator="between">
      <formula>0.51</formula>
      <formula>0.75</formula>
    </cfRule>
    <cfRule type="cellIs" dxfId="7618" priority="8997" operator="greaterThan">
      <formula>1</formula>
    </cfRule>
    <cfRule type="cellIs" dxfId="7617" priority="8998" operator="between">
      <formula>0.95</formula>
      <formula>1</formula>
    </cfRule>
    <cfRule type="cellIs" dxfId="7616" priority="8999" stopIfTrue="1" operator="between">
      <formula>0</formula>
      <formula>0.5</formula>
    </cfRule>
  </conditionalFormatting>
  <conditionalFormatting sqref="T194">
    <cfRule type="cellIs" dxfId="7615" priority="8990" operator="between">
      <formula>0.3751</formula>
      <formula>0.475</formula>
    </cfRule>
    <cfRule type="cellIs" dxfId="7614" priority="8991" operator="between">
      <formula>0.2551</formula>
      <formula>0.375</formula>
    </cfRule>
    <cfRule type="cellIs" dxfId="7613" priority="8992" operator="greaterThan">
      <formula>0.505</formula>
    </cfRule>
    <cfRule type="cellIs" dxfId="7612" priority="8993" operator="between">
      <formula>0.48</formula>
      <formula>0.5</formula>
    </cfRule>
    <cfRule type="cellIs" dxfId="7611" priority="8994" stopIfTrue="1" operator="between">
      <formula>0</formula>
      <formula>0.255</formula>
    </cfRule>
  </conditionalFormatting>
  <conditionalFormatting sqref="AA194:AB194">
    <cfRule type="cellIs" dxfId="7610" priority="8985" operator="between">
      <formula>0.56251</formula>
      <formula>0.7125</formula>
    </cfRule>
    <cfRule type="cellIs" dxfId="7609" priority="8986" operator="between">
      <formula>0.3751</formula>
      <formula>0.5625</formula>
    </cfRule>
    <cfRule type="cellIs" dxfId="7608" priority="8987" operator="greaterThan">
      <formula>0.751</formula>
    </cfRule>
    <cfRule type="cellIs" dxfId="7607" priority="8988" operator="between">
      <formula>0.71251</formula>
      <formula>0.75</formula>
    </cfRule>
    <cfRule type="cellIs" dxfId="7606" priority="8989" stopIfTrue="1" operator="between">
      <formula>0</formula>
      <formula>0.375</formula>
    </cfRule>
  </conditionalFormatting>
  <conditionalFormatting sqref="U194">
    <cfRule type="cellIs" dxfId="7605" priority="8975" operator="between">
      <formula>0.376</formula>
      <formula>0.475</formula>
    </cfRule>
    <cfRule type="cellIs" dxfId="7604" priority="8976" operator="between">
      <formula>0.2551</formula>
      <formula>0.3751</formula>
    </cfRule>
    <cfRule type="cellIs" dxfId="7603" priority="8977" operator="greaterThan">
      <formula>0.505</formula>
    </cfRule>
    <cfRule type="cellIs" dxfId="7602" priority="8978" operator="between">
      <formula>0.48</formula>
      <formula>0.5</formula>
    </cfRule>
    <cfRule type="cellIs" dxfId="7601" priority="8979" stopIfTrue="1" operator="between">
      <formula>0</formula>
      <formula>0.255</formula>
    </cfRule>
  </conditionalFormatting>
  <conditionalFormatting sqref="AG194">
    <cfRule type="cellIs" dxfId="7600" priority="8967" operator="between">
      <formula>0.76</formula>
      <formula>0.95</formula>
    </cfRule>
    <cfRule type="cellIs" dxfId="7599" priority="8968" operator="between">
      <formula>0.51</formula>
      <formula>0.75</formula>
    </cfRule>
    <cfRule type="cellIs" dxfId="7598" priority="8969" operator="greaterThan">
      <formula>1</formula>
    </cfRule>
    <cfRule type="cellIs" dxfId="7597" priority="8970" operator="between">
      <formula>0.95</formula>
      <formula>1</formula>
    </cfRule>
    <cfRule type="cellIs" dxfId="7596" priority="8971" stopIfTrue="1" operator="between">
      <formula>0</formula>
      <formula>0.5</formula>
    </cfRule>
  </conditionalFormatting>
  <conditionalFormatting sqref="Z194">
    <cfRule type="cellIs" dxfId="7595" priority="8962" operator="between">
      <formula>0.76</formula>
      <formula>0.95</formula>
    </cfRule>
    <cfRule type="cellIs" dxfId="7594" priority="8963" operator="between">
      <formula>0.51</formula>
      <formula>0.75</formula>
    </cfRule>
    <cfRule type="cellIs" dxfId="7593" priority="8964" operator="greaterThan">
      <formula>1</formula>
    </cfRule>
    <cfRule type="cellIs" dxfId="7592" priority="8965" operator="between">
      <formula>0.95</formula>
      <formula>1</formula>
    </cfRule>
    <cfRule type="cellIs" dxfId="7591" priority="8966" stopIfTrue="1" operator="between">
      <formula>0</formula>
      <formula>0.5</formula>
    </cfRule>
  </conditionalFormatting>
  <conditionalFormatting sqref="AC194">
    <cfRule type="cellIs" dxfId="7590" priority="8957" operator="between">
      <formula>0.56251</formula>
      <formula>0.7125</formula>
    </cfRule>
    <cfRule type="cellIs" dxfId="7589" priority="8958" operator="between">
      <formula>0.3751</formula>
      <formula>0.5625</formula>
    </cfRule>
    <cfRule type="cellIs" dxfId="7588" priority="8959" operator="greaterThan">
      <formula>0.751</formula>
    </cfRule>
    <cfRule type="cellIs" dxfId="7587" priority="8960" operator="between">
      <formula>0.71251</formula>
      <formula>0.75</formula>
    </cfRule>
    <cfRule type="cellIs" dxfId="7586" priority="8961" stopIfTrue="1" operator="between">
      <formula>0</formula>
      <formula>0.375</formula>
    </cfRule>
  </conditionalFormatting>
  <conditionalFormatting sqref="V194">
    <cfRule type="cellIs" dxfId="7585" priority="8947" operator="between">
      <formula>0.376</formula>
      <formula>0.475</formula>
    </cfRule>
    <cfRule type="cellIs" dxfId="7584" priority="8948" operator="between">
      <formula>0.2551</formula>
      <formula>0.3751</formula>
    </cfRule>
    <cfRule type="cellIs" dxfId="7583" priority="8949" operator="greaterThan">
      <formula>0.505</formula>
    </cfRule>
    <cfRule type="cellIs" dxfId="7582" priority="8950" operator="between">
      <formula>0.48</formula>
      <formula>0.5</formula>
    </cfRule>
    <cfRule type="cellIs" dxfId="7581" priority="8951" stopIfTrue="1" operator="between">
      <formula>0</formula>
      <formula>0.255</formula>
    </cfRule>
  </conditionalFormatting>
  <conditionalFormatting sqref="S194">
    <cfRule type="cellIs" dxfId="7580" priority="8927" operator="between">
      <formula>0.76</formula>
      <formula>0.95</formula>
    </cfRule>
    <cfRule type="cellIs" dxfId="7579" priority="8928" operator="between">
      <formula>0.51</formula>
      <formula>0.75</formula>
    </cfRule>
    <cfRule type="cellIs" dxfId="7578" priority="8929" operator="greaterThan">
      <formula>1</formula>
    </cfRule>
    <cfRule type="cellIs" dxfId="7577" priority="8930" operator="between">
      <formula>0.95</formula>
      <formula>1</formula>
    </cfRule>
    <cfRule type="cellIs" dxfId="7576" priority="8931" stopIfTrue="1" operator="between">
      <formula>0</formula>
      <formula>0.5</formula>
    </cfRule>
  </conditionalFormatting>
  <conditionalFormatting sqref="AI358">
    <cfRule type="cellIs" dxfId="7575" priority="8922" operator="between">
      <formula>0.76</formula>
      <formula>0.95</formula>
    </cfRule>
    <cfRule type="cellIs" dxfId="7574" priority="8923" operator="between">
      <formula>0.51</formula>
      <formula>0.75</formula>
    </cfRule>
    <cfRule type="cellIs" dxfId="7573" priority="8924" operator="greaterThan">
      <formula>1</formula>
    </cfRule>
    <cfRule type="cellIs" dxfId="7572" priority="8925" operator="between">
      <formula>0.95</formula>
      <formula>1</formula>
    </cfRule>
    <cfRule type="cellIs" dxfId="7571" priority="8926" stopIfTrue="1" operator="between">
      <formula>0</formula>
      <formula>0.5</formula>
    </cfRule>
  </conditionalFormatting>
  <conditionalFormatting sqref="R358">
    <cfRule type="cellIs" dxfId="7570" priority="8912" operator="between">
      <formula>0.76</formula>
      <formula>0.95</formula>
    </cfRule>
    <cfRule type="cellIs" dxfId="7569" priority="8913" operator="between">
      <formula>0.51</formula>
      <formula>0.75</formula>
    </cfRule>
    <cfRule type="cellIs" dxfId="7568" priority="8914" operator="greaterThan">
      <formula>1</formula>
    </cfRule>
    <cfRule type="cellIs" dxfId="7567" priority="8915" operator="between">
      <formula>0.95</formula>
      <formula>1</formula>
    </cfRule>
    <cfRule type="cellIs" dxfId="7566" priority="8916" stopIfTrue="1" operator="between">
      <formula>0</formula>
      <formula>0.5</formula>
    </cfRule>
  </conditionalFormatting>
  <conditionalFormatting sqref="Y358">
    <cfRule type="cellIs" dxfId="7565" priority="8907" operator="between">
      <formula>0.76</formula>
      <formula>0.95</formula>
    </cfRule>
    <cfRule type="cellIs" dxfId="7564" priority="8908" operator="between">
      <formula>0.51</formula>
      <formula>0.75</formula>
    </cfRule>
    <cfRule type="cellIs" dxfId="7563" priority="8909" operator="greaterThan">
      <formula>1</formula>
    </cfRule>
    <cfRule type="cellIs" dxfId="7562" priority="8910" operator="between">
      <formula>0.95</formula>
      <formula>1</formula>
    </cfRule>
    <cfRule type="cellIs" dxfId="7561" priority="8911" stopIfTrue="1" operator="between">
      <formula>0</formula>
      <formula>0.5</formula>
    </cfRule>
  </conditionalFormatting>
  <conditionalFormatting sqref="AF358">
    <cfRule type="cellIs" dxfId="7560" priority="8902" operator="between">
      <formula>0.76</formula>
      <formula>0.95</formula>
    </cfRule>
    <cfRule type="cellIs" dxfId="7559" priority="8903" operator="between">
      <formula>0.51</formula>
      <formula>0.75</formula>
    </cfRule>
    <cfRule type="cellIs" dxfId="7558" priority="8904" operator="greaterThan">
      <formula>1</formula>
    </cfRule>
    <cfRule type="cellIs" dxfId="7557" priority="8905" operator="between">
      <formula>0.95</formula>
      <formula>1</formula>
    </cfRule>
    <cfRule type="cellIs" dxfId="7556" priority="8906" stopIfTrue="1" operator="between">
      <formula>0</formula>
      <formula>0.5</formula>
    </cfRule>
  </conditionalFormatting>
  <conditionalFormatting sqref="AH358">
    <cfRule type="cellIs" dxfId="7555" priority="8897" operator="between">
      <formula>0.76</formula>
      <formula>0.95</formula>
    </cfRule>
    <cfRule type="cellIs" dxfId="7554" priority="8898" operator="between">
      <formula>0.51</formula>
      <formula>0.75</formula>
    </cfRule>
    <cfRule type="cellIs" dxfId="7553" priority="8899" operator="greaterThan">
      <formula>1</formula>
    </cfRule>
    <cfRule type="cellIs" dxfId="7552" priority="8900" operator="between">
      <formula>0.95</formula>
      <formula>1</formula>
    </cfRule>
    <cfRule type="cellIs" dxfId="7551" priority="8901" stopIfTrue="1" operator="between">
      <formula>0</formula>
      <formula>0.5</formula>
    </cfRule>
  </conditionalFormatting>
  <conditionalFormatting sqref="T358">
    <cfRule type="cellIs" dxfId="7550" priority="8882" operator="between">
      <formula>0.3751</formula>
      <formula>0.475</formula>
    </cfRule>
    <cfRule type="cellIs" dxfId="7549" priority="8883" operator="between">
      <formula>0.2551</formula>
      <formula>0.375</formula>
    </cfRule>
    <cfRule type="cellIs" dxfId="7548" priority="8884" operator="greaterThan">
      <formula>0.505</formula>
    </cfRule>
    <cfRule type="cellIs" dxfId="7547" priority="8885" operator="between">
      <formula>0.48</formula>
      <formula>0.5</formula>
    </cfRule>
    <cfRule type="cellIs" dxfId="7546" priority="8886" stopIfTrue="1" operator="between">
      <formula>0</formula>
      <formula>0.255</formula>
    </cfRule>
  </conditionalFormatting>
  <conditionalFormatting sqref="U358">
    <cfRule type="cellIs" dxfId="7545" priority="8877" operator="between">
      <formula>0.376</formula>
      <formula>0.475</formula>
    </cfRule>
    <cfRule type="cellIs" dxfId="7544" priority="8878" operator="between">
      <formula>0.2551</formula>
      <formula>0.3751</formula>
    </cfRule>
    <cfRule type="cellIs" dxfId="7543" priority="8879" operator="greaterThan">
      <formula>0.505</formula>
    </cfRule>
    <cfRule type="cellIs" dxfId="7542" priority="8880" operator="between">
      <formula>0.48</formula>
      <formula>0.5</formula>
    </cfRule>
    <cfRule type="cellIs" dxfId="7541" priority="8881" stopIfTrue="1" operator="between">
      <formula>0</formula>
      <formula>0.255</formula>
    </cfRule>
  </conditionalFormatting>
  <conditionalFormatting sqref="AA358">
    <cfRule type="cellIs" dxfId="7540" priority="8872" operator="between">
      <formula>0.56251</formula>
      <formula>0.7125</formula>
    </cfRule>
    <cfRule type="cellIs" dxfId="7539" priority="8873" operator="between">
      <formula>0.3751</formula>
      <formula>0.5625</formula>
    </cfRule>
    <cfRule type="cellIs" dxfId="7538" priority="8874" operator="greaterThan">
      <formula>0.751</formula>
    </cfRule>
    <cfRule type="cellIs" dxfId="7537" priority="8875" operator="between">
      <formula>0.71251</formula>
      <formula>0.75</formula>
    </cfRule>
    <cfRule type="cellIs" dxfId="7536" priority="8876" stopIfTrue="1" operator="between">
      <formula>0</formula>
      <formula>0.375</formula>
    </cfRule>
  </conditionalFormatting>
  <conditionalFormatting sqref="AB358">
    <cfRule type="cellIs" dxfId="7535" priority="8867" operator="between">
      <formula>0.56251</formula>
      <formula>0.7125</formula>
    </cfRule>
    <cfRule type="cellIs" dxfId="7534" priority="8868" operator="between">
      <formula>0.3751</formula>
      <formula>0.5625</formula>
    </cfRule>
    <cfRule type="cellIs" dxfId="7533" priority="8869" operator="greaterThan">
      <formula>0.751</formula>
    </cfRule>
    <cfRule type="cellIs" dxfId="7532" priority="8870" operator="between">
      <formula>0.71251</formula>
      <formula>0.75</formula>
    </cfRule>
    <cfRule type="cellIs" dxfId="7531" priority="8871" stopIfTrue="1" operator="between">
      <formula>0</formula>
      <formula>0.375</formula>
    </cfRule>
  </conditionalFormatting>
  <conditionalFormatting sqref="S358">
    <cfRule type="cellIs" dxfId="7530" priority="8850" operator="between">
      <formula>0.76</formula>
      <formula>0.95</formula>
    </cfRule>
    <cfRule type="cellIs" dxfId="7529" priority="8851" operator="between">
      <formula>0.51</formula>
      <formula>0.75</formula>
    </cfRule>
    <cfRule type="cellIs" dxfId="7528" priority="8852" operator="greaterThan">
      <formula>1</formula>
    </cfRule>
    <cfRule type="cellIs" dxfId="7527" priority="8853" operator="between">
      <formula>0.95</formula>
      <formula>1</formula>
    </cfRule>
    <cfRule type="cellIs" dxfId="7526" priority="8854" stopIfTrue="1" operator="between">
      <formula>0</formula>
      <formula>0.5</formula>
    </cfRule>
  </conditionalFormatting>
  <conditionalFormatting sqref="V358">
    <cfRule type="cellIs" dxfId="7525" priority="8845" operator="between">
      <formula>0.376</formula>
      <formula>0.475</formula>
    </cfRule>
    <cfRule type="cellIs" dxfId="7524" priority="8846" operator="between">
      <formula>0.2551</formula>
      <formula>0.3751</formula>
    </cfRule>
    <cfRule type="cellIs" dxfId="7523" priority="8847" operator="greaterThan">
      <formula>0.505</formula>
    </cfRule>
    <cfRule type="cellIs" dxfId="7522" priority="8848" operator="between">
      <formula>0.48</formula>
      <formula>0.5</formula>
    </cfRule>
    <cfRule type="cellIs" dxfId="7521" priority="8849" stopIfTrue="1" operator="between">
      <formula>0</formula>
      <formula>0.255</formula>
    </cfRule>
  </conditionalFormatting>
  <conditionalFormatting sqref="AC358">
    <cfRule type="cellIs" dxfId="7520" priority="8840" operator="between">
      <formula>0.56251</formula>
      <formula>0.7125</formula>
    </cfRule>
    <cfRule type="cellIs" dxfId="7519" priority="8841" operator="between">
      <formula>0.3751</formula>
      <formula>0.5625</formula>
    </cfRule>
    <cfRule type="cellIs" dxfId="7518" priority="8842" operator="greaterThan">
      <formula>0.751</formula>
    </cfRule>
    <cfRule type="cellIs" dxfId="7517" priority="8843" operator="between">
      <formula>0.71251</formula>
      <formula>0.75</formula>
    </cfRule>
    <cfRule type="cellIs" dxfId="7516" priority="8844" stopIfTrue="1" operator="between">
      <formula>0</formula>
      <formula>0.375</formula>
    </cfRule>
  </conditionalFormatting>
  <conditionalFormatting sqref="Z358">
    <cfRule type="cellIs" dxfId="7515" priority="8825" operator="between">
      <formula>0.76</formula>
      <formula>0.95</formula>
    </cfRule>
    <cfRule type="cellIs" dxfId="7514" priority="8826" operator="between">
      <formula>0.51</formula>
      <formula>0.75</formula>
    </cfRule>
    <cfRule type="cellIs" dxfId="7513" priority="8827" operator="greaterThan">
      <formula>1</formula>
    </cfRule>
    <cfRule type="cellIs" dxfId="7512" priority="8828" operator="between">
      <formula>0.95</formula>
      <formula>1</formula>
    </cfRule>
    <cfRule type="cellIs" dxfId="7511" priority="8829" stopIfTrue="1" operator="between">
      <formula>0</formula>
      <formula>0.5</formula>
    </cfRule>
  </conditionalFormatting>
  <conditionalFormatting sqref="AG358">
    <cfRule type="cellIs" dxfId="7510" priority="8820" operator="between">
      <formula>0.76</formula>
      <formula>0.95</formula>
    </cfRule>
    <cfRule type="cellIs" dxfId="7509" priority="8821" operator="between">
      <formula>0.51</formula>
      <formula>0.75</formula>
    </cfRule>
    <cfRule type="cellIs" dxfId="7508" priority="8822" operator="greaterThan">
      <formula>1</formula>
    </cfRule>
    <cfRule type="cellIs" dxfId="7507" priority="8823" operator="between">
      <formula>0.95</formula>
      <formula>1</formula>
    </cfRule>
    <cfRule type="cellIs" dxfId="7506" priority="8824" stopIfTrue="1" operator="between">
      <formula>0</formula>
      <formula>0.5</formula>
    </cfRule>
  </conditionalFormatting>
  <conditionalFormatting sqref="AI359">
    <cfRule type="cellIs" dxfId="7505" priority="8815" operator="between">
      <formula>0.76</formula>
      <formula>0.95</formula>
    </cfRule>
    <cfRule type="cellIs" dxfId="7504" priority="8816" operator="between">
      <formula>0.51</formula>
      <formula>0.75</formula>
    </cfRule>
    <cfRule type="cellIs" dxfId="7503" priority="8817" operator="greaterThan">
      <formula>1</formula>
    </cfRule>
    <cfRule type="cellIs" dxfId="7502" priority="8818" operator="between">
      <formula>0.95</formula>
      <formula>1</formula>
    </cfRule>
    <cfRule type="cellIs" dxfId="7501" priority="8819" stopIfTrue="1" operator="between">
      <formula>0</formula>
      <formula>0.5</formula>
    </cfRule>
  </conditionalFormatting>
  <conditionalFormatting sqref="R359">
    <cfRule type="cellIs" dxfId="7500" priority="8805" operator="between">
      <formula>0.76</formula>
      <formula>0.95</formula>
    </cfRule>
    <cfRule type="cellIs" dxfId="7499" priority="8806" operator="between">
      <formula>0.51</formula>
      <formula>0.75</formula>
    </cfRule>
    <cfRule type="cellIs" dxfId="7498" priority="8807" operator="greaterThan">
      <formula>1</formula>
    </cfRule>
    <cfRule type="cellIs" dxfId="7497" priority="8808" operator="between">
      <formula>0.95</formula>
      <formula>1</formula>
    </cfRule>
    <cfRule type="cellIs" dxfId="7496" priority="8809" stopIfTrue="1" operator="between">
      <formula>0</formula>
      <formula>0.5</formula>
    </cfRule>
  </conditionalFormatting>
  <conditionalFormatting sqref="Y359">
    <cfRule type="cellIs" dxfId="7495" priority="8800" operator="between">
      <formula>0.76</formula>
      <formula>0.95</formula>
    </cfRule>
    <cfRule type="cellIs" dxfId="7494" priority="8801" operator="between">
      <formula>0.51</formula>
      <formula>0.75</formula>
    </cfRule>
    <cfRule type="cellIs" dxfId="7493" priority="8802" operator="greaterThan">
      <formula>1</formula>
    </cfRule>
    <cfRule type="cellIs" dxfId="7492" priority="8803" operator="between">
      <formula>0.95</formula>
      <formula>1</formula>
    </cfRule>
    <cfRule type="cellIs" dxfId="7491" priority="8804" stopIfTrue="1" operator="between">
      <formula>0</formula>
      <formula>0.5</formula>
    </cfRule>
  </conditionalFormatting>
  <conditionalFormatting sqref="AF359">
    <cfRule type="cellIs" dxfId="7490" priority="8795" operator="between">
      <formula>0.76</formula>
      <formula>0.95</formula>
    </cfRule>
    <cfRule type="cellIs" dxfId="7489" priority="8796" operator="between">
      <formula>0.51</formula>
      <formula>0.75</formula>
    </cfRule>
    <cfRule type="cellIs" dxfId="7488" priority="8797" operator="greaterThan">
      <formula>1</formula>
    </cfRule>
    <cfRule type="cellIs" dxfId="7487" priority="8798" operator="between">
      <formula>0.95</formula>
      <formula>1</formula>
    </cfRule>
    <cfRule type="cellIs" dxfId="7486" priority="8799" stopIfTrue="1" operator="between">
      <formula>0</formula>
      <formula>0.5</formula>
    </cfRule>
  </conditionalFormatting>
  <conditionalFormatting sqref="AH359">
    <cfRule type="cellIs" dxfId="7485" priority="8790" operator="between">
      <formula>0.76</formula>
      <formula>0.95</formula>
    </cfRule>
    <cfRule type="cellIs" dxfId="7484" priority="8791" operator="between">
      <formula>0.51</formula>
      <formula>0.75</formula>
    </cfRule>
    <cfRule type="cellIs" dxfId="7483" priority="8792" operator="greaterThan">
      <formula>1</formula>
    </cfRule>
    <cfRule type="cellIs" dxfId="7482" priority="8793" operator="between">
      <formula>0.95</formula>
      <formula>1</formula>
    </cfRule>
    <cfRule type="cellIs" dxfId="7481" priority="8794" stopIfTrue="1" operator="between">
      <formula>0</formula>
      <formula>0.5</formula>
    </cfRule>
  </conditionalFormatting>
  <conditionalFormatting sqref="T359">
    <cfRule type="cellIs" dxfId="7480" priority="8775" operator="between">
      <formula>0.3751</formula>
      <formula>0.475</formula>
    </cfRule>
    <cfRule type="cellIs" dxfId="7479" priority="8776" operator="between">
      <formula>0.2551</formula>
      <formula>0.375</formula>
    </cfRule>
    <cfRule type="cellIs" dxfId="7478" priority="8777" operator="greaterThan">
      <formula>0.505</formula>
    </cfRule>
    <cfRule type="cellIs" dxfId="7477" priority="8778" operator="between">
      <formula>0.48</formula>
      <formula>0.5</formula>
    </cfRule>
    <cfRule type="cellIs" dxfId="7476" priority="8779" stopIfTrue="1" operator="between">
      <formula>0</formula>
      <formula>0.255</formula>
    </cfRule>
  </conditionalFormatting>
  <conditionalFormatting sqref="U359">
    <cfRule type="cellIs" dxfId="7475" priority="8770" operator="between">
      <formula>0.376</formula>
      <formula>0.475</formula>
    </cfRule>
    <cfRule type="cellIs" dxfId="7474" priority="8771" operator="between">
      <formula>0.2551</formula>
      <formula>0.3751</formula>
    </cfRule>
    <cfRule type="cellIs" dxfId="7473" priority="8772" operator="greaterThan">
      <formula>0.505</formula>
    </cfRule>
    <cfRule type="cellIs" dxfId="7472" priority="8773" operator="between">
      <formula>0.48</formula>
      <formula>0.5</formula>
    </cfRule>
    <cfRule type="cellIs" dxfId="7471" priority="8774" stopIfTrue="1" operator="between">
      <formula>0</formula>
      <formula>0.255</formula>
    </cfRule>
  </conditionalFormatting>
  <conditionalFormatting sqref="AA359">
    <cfRule type="cellIs" dxfId="7470" priority="8765" operator="between">
      <formula>0.56251</formula>
      <formula>0.7125</formula>
    </cfRule>
    <cfRule type="cellIs" dxfId="7469" priority="8766" operator="between">
      <formula>0.3751</formula>
      <formula>0.5625</formula>
    </cfRule>
    <cfRule type="cellIs" dxfId="7468" priority="8767" operator="greaterThan">
      <formula>0.751</formula>
    </cfRule>
    <cfRule type="cellIs" dxfId="7467" priority="8768" operator="between">
      <formula>0.71251</formula>
      <formula>0.75</formula>
    </cfRule>
    <cfRule type="cellIs" dxfId="7466" priority="8769" stopIfTrue="1" operator="between">
      <formula>0</formula>
      <formula>0.375</formula>
    </cfRule>
  </conditionalFormatting>
  <conditionalFormatting sqref="AB359">
    <cfRule type="cellIs" dxfId="7465" priority="8760" operator="between">
      <formula>0.56251</formula>
      <formula>0.7125</formula>
    </cfRule>
    <cfRule type="cellIs" dxfId="7464" priority="8761" operator="between">
      <formula>0.3751</formula>
      <formula>0.5625</formula>
    </cfRule>
    <cfRule type="cellIs" dxfId="7463" priority="8762" operator="greaterThan">
      <formula>0.751</formula>
    </cfRule>
    <cfRule type="cellIs" dxfId="7462" priority="8763" operator="between">
      <formula>0.71251</formula>
      <formula>0.75</formula>
    </cfRule>
    <cfRule type="cellIs" dxfId="7461" priority="8764" stopIfTrue="1" operator="between">
      <formula>0</formula>
      <formula>0.375</formula>
    </cfRule>
  </conditionalFormatting>
  <conditionalFormatting sqref="S359">
    <cfRule type="cellIs" dxfId="7460" priority="8743" operator="between">
      <formula>0.76</formula>
      <formula>0.95</formula>
    </cfRule>
    <cfRule type="cellIs" dxfId="7459" priority="8744" operator="between">
      <formula>0.51</formula>
      <formula>0.75</formula>
    </cfRule>
    <cfRule type="cellIs" dxfId="7458" priority="8745" operator="greaterThan">
      <formula>1</formula>
    </cfRule>
    <cfRule type="cellIs" dxfId="7457" priority="8746" operator="between">
      <formula>0.95</formula>
      <formula>1</formula>
    </cfRule>
    <cfRule type="cellIs" dxfId="7456" priority="8747" stopIfTrue="1" operator="between">
      <formula>0</formula>
      <formula>0.5</formula>
    </cfRule>
  </conditionalFormatting>
  <conditionalFormatting sqref="V359">
    <cfRule type="cellIs" dxfId="7455" priority="8738" operator="between">
      <formula>0.376</formula>
      <formula>0.475</formula>
    </cfRule>
    <cfRule type="cellIs" dxfId="7454" priority="8739" operator="between">
      <formula>0.2551</formula>
      <formula>0.3751</formula>
    </cfRule>
    <cfRule type="cellIs" dxfId="7453" priority="8740" operator="greaterThan">
      <formula>0.505</formula>
    </cfRule>
    <cfRule type="cellIs" dxfId="7452" priority="8741" operator="between">
      <formula>0.48</formula>
      <formula>0.5</formula>
    </cfRule>
    <cfRule type="cellIs" dxfId="7451" priority="8742" stopIfTrue="1" operator="between">
      <formula>0</formula>
      <formula>0.255</formula>
    </cfRule>
  </conditionalFormatting>
  <conditionalFormatting sqref="AC359">
    <cfRule type="cellIs" dxfId="7450" priority="8733" operator="between">
      <formula>0.56251</formula>
      <formula>0.7125</formula>
    </cfRule>
    <cfRule type="cellIs" dxfId="7449" priority="8734" operator="between">
      <formula>0.3751</formula>
      <formula>0.5625</formula>
    </cfRule>
    <cfRule type="cellIs" dxfId="7448" priority="8735" operator="greaterThan">
      <formula>0.751</formula>
    </cfRule>
    <cfRule type="cellIs" dxfId="7447" priority="8736" operator="between">
      <formula>0.71251</formula>
      <formula>0.75</formula>
    </cfRule>
    <cfRule type="cellIs" dxfId="7446" priority="8737" stopIfTrue="1" operator="between">
      <formula>0</formula>
      <formula>0.375</formula>
    </cfRule>
  </conditionalFormatting>
  <conditionalFormatting sqref="Z359">
    <cfRule type="cellIs" dxfId="7445" priority="8718" operator="between">
      <formula>0.76</formula>
      <formula>0.95</formula>
    </cfRule>
    <cfRule type="cellIs" dxfId="7444" priority="8719" operator="between">
      <formula>0.51</formula>
      <formula>0.75</formula>
    </cfRule>
    <cfRule type="cellIs" dxfId="7443" priority="8720" operator="greaterThan">
      <formula>1</formula>
    </cfRule>
    <cfRule type="cellIs" dxfId="7442" priority="8721" operator="between">
      <formula>0.95</formula>
      <formula>1</formula>
    </cfRule>
    <cfRule type="cellIs" dxfId="7441" priority="8722" stopIfTrue="1" operator="between">
      <formula>0</formula>
      <formula>0.5</formula>
    </cfRule>
  </conditionalFormatting>
  <conditionalFormatting sqref="AG359">
    <cfRule type="cellIs" dxfId="7440" priority="8708" operator="between">
      <formula>0.76</formula>
      <formula>0.95</formula>
    </cfRule>
    <cfRule type="cellIs" dxfId="7439" priority="8709" operator="between">
      <formula>0.51</formula>
      <formula>0.75</formula>
    </cfRule>
    <cfRule type="cellIs" dxfId="7438" priority="8710" operator="greaterThan">
      <formula>1</formula>
    </cfRule>
    <cfRule type="cellIs" dxfId="7437" priority="8711" operator="between">
      <formula>0.95</formula>
      <formula>1</formula>
    </cfRule>
    <cfRule type="cellIs" dxfId="7436" priority="8712" stopIfTrue="1" operator="between">
      <formula>0</formula>
      <formula>0.5</formula>
    </cfRule>
  </conditionalFormatting>
  <conditionalFormatting sqref="Y298 AF298 R298 AH298:AI298">
    <cfRule type="cellIs" dxfId="7435" priority="8703" operator="between">
      <formula>0.76</formula>
      <formula>0.95</formula>
    </cfRule>
    <cfRule type="cellIs" dxfId="7434" priority="8704" operator="between">
      <formula>0.51</formula>
      <formula>0.75</formula>
    </cfRule>
    <cfRule type="cellIs" dxfId="7433" priority="8705" operator="greaterThan">
      <formula>1</formula>
    </cfRule>
    <cfRule type="cellIs" dxfId="7432" priority="8706" operator="between">
      <formula>0.95</formula>
      <formula>1</formula>
    </cfRule>
    <cfRule type="cellIs" dxfId="7431" priority="8707" stopIfTrue="1" operator="between">
      <formula>0</formula>
      <formula>0.5</formula>
    </cfRule>
  </conditionalFormatting>
  <conditionalFormatting sqref="T298">
    <cfRule type="cellIs" dxfId="7430" priority="8698" operator="between">
      <formula>0.3751</formula>
      <formula>0.475</formula>
    </cfRule>
    <cfRule type="cellIs" dxfId="7429" priority="8699" operator="between">
      <formula>0.2551</formula>
      <formula>0.375</formula>
    </cfRule>
    <cfRule type="cellIs" dxfId="7428" priority="8700" operator="greaterThan">
      <formula>0.505</formula>
    </cfRule>
    <cfRule type="cellIs" dxfId="7427" priority="8701" operator="between">
      <formula>0.48</formula>
      <formula>0.5</formula>
    </cfRule>
    <cfRule type="cellIs" dxfId="7426" priority="8702" stopIfTrue="1" operator="between">
      <formula>0</formula>
      <formula>0.255</formula>
    </cfRule>
  </conditionalFormatting>
  <conditionalFormatting sqref="AA298:AB298">
    <cfRule type="cellIs" dxfId="7425" priority="8693" operator="between">
      <formula>0.56251</formula>
      <formula>0.7125</formula>
    </cfRule>
    <cfRule type="cellIs" dxfId="7424" priority="8694" operator="between">
      <formula>0.3751</formula>
      <formula>0.5625</formula>
    </cfRule>
    <cfRule type="cellIs" dxfId="7423" priority="8695" operator="greaterThan">
      <formula>0.751</formula>
    </cfRule>
    <cfRule type="cellIs" dxfId="7422" priority="8696" operator="between">
      <formula>0.71251</formula>
      <formula>0.75</formula>
    </cfRule>
    <cfRule type="cellIs" dxfId="7421" priority="8697" stopIfTrue="1" operator="between">
      <formula>0</formula>
      <formula>0.375</formula>
    </cfRule>
  </conditionalFormatting>
  <conditionalFormatting sqref="U298">
    <cfRule type="cellIs" dxfId="7420" priority="8683" operator="between">
      <formula>0.376</formula>
      <formula>0.475</formula>
    </cfRule>
    <cfRule type="cellIs" dxfId="7419" priority="8684" operator="between">
      <formula>0.2551</formula>
      <formula>0.3751</formula>
    </cfRule>
    <cfRule type="cellIs" dxfId="7418" priority="8685" operator="greaterThan">
      <formula>0.505</formula>
    </cfRule>
    <cfRule type="cellIs" dxfId="7417" priority="8686" operator="between">
      <formula>0.48</formula>
      <formula>0.5</formula>
    </cfRule>
    <cfRule type="cellIs" dxfId="7416" priority="8687" stopIfTrue="1" operator="between">
      <formula>0</formula>
      <formula>0.255</formula>
    </cfRule>
  </conditionalFormatting>
  <conditionalFormatting sqref="S298">
    <cfRule type="cellIs" dxfId="7415" priority="8660" operator="between">
      <formula>0.76</formula>
      <formula>0.95</formula>
    </cfRule>
    <cfRule type="cellIs" dxfId="7414" priority="8661" operator="between">
      <formula>0.51</formula>
      <formula>0.75</formula>
    </cfRule>
    <cfRule type="cellIs" dxfId="7413" priority="8662" operator="greaterThan">
      <formula>1</formula>
    </cfRule>
    <cfRule type="cellIs" dxfId="7412" priority="8663" operator="between">
      <formula>0.95</formula>
      <formula>1</formula>
    </cfRule>
    <cfRule type="cellIs" dxfId="7411" priority="8664" stopIfTrue="1" operator="between">
      <formula>0</formula>
      <formula>0.5</formula>
    </cfRule>
  </conditionalFormatting>
  <conditionalFormatting sqref="V298">
    <cfRule type="cellIs" dxfId="7410" priority="8655" operator="between">
      <formula>0.376</formula>
      <formula>0.475</formula>
    </cfRule>
    <cfRule type="cellIs" dxfId="7409" priority="8656" operator="between">
      <formula>0.2551</formula>
      <formula>0.3751</formula>
    </cfRule>
    <cfRule type="cellIs" dxfId="7408" priority="8657" operator="greaterThan">
      <formula>0.505</formula>
    </cfRule>
    <cfRule type="cellIs" dxfId="7407" priority="8658" operator="between">
      <formula>0.48</formula>
      <formula>0.5</formula>
    </cfRule>
    <cfRule type="cellIs" dxfId="7406" priority="8659" stopIfTrue="1" operator="between">
      <formula>0</formula>
      <formula>0.255</formula>
    </cfRule>
  </conditionalFormatting>
  <conditionalFormatting sqref="AC298">
    <cfRule type="cellIs" dxfId="7405" priority="8645" operator="between">
      <formula>0.56251</formula>
      <formula>0.7125</formula>
    </cfRule>
    <cfRule type="cellIs" dxfId="7404" priority="8646" operator="between">
      <formula>0.3751</formula>
      <formula>0.5625</formula>
    </cfRule>
    <cfRule type="cellIs" dxfId="7403" priority="8647" operator="greaterThan">
      <formula>0.751</formula>
    </cfRule>
    <cfRule type="cellIs" dxfId="7402" priority="8648" operator="between">
      <formula>0.71251</formula>
      <formula>0.75</formula>
    </cfRule>
    <cfRule type="cellIs" dxfId="7401" priority="8649" stopIfTrue="1" operator="between">
      <formula>0</formula>
      <formula>0.375</formula>
    </cfRule>
  </conditionalFormatting>
  <conditionalFormatting sqref="AG298">
    <cfRule type="cellIs" dxfId="7400" priority="8640" operator="between">
      <formula>0.76</formula>
      <formula>0.95</formula>
    </cfRule>
    <cfRule type="cellIs" dxfId="7399" priority="8641" operator="between">
      <formula>0.51</formula>
      <formula>0.75</formula>
    </cfRule>
    <cfRule type="cellIs" dxfId="7398" priority="8642" operator="greaterThan">
      <formula>1</formula>
    </cfRule>
    <cfRule type="cellIs" dxfId="7397" priority="8643" operator="between">
      <formula>0.95</formula>
      <formula>1</formula>
    </cfRule>
    <cfRule type="cellIs" dxfId="7396" priority="8644" stopIfTrue="1" operator="between">
      <formula>0</formula>
      <formula>0.5</formula>
    </cfRule>
  </conditionalFormatting>
  <conditionalFormatting sqref="Z298">
    <cfRule type="cellIs" dxfId="7395" priority="8635" operator="between">
      <formula>0.76</formula>
      <formula>0.95</formula>
    </cfRule>
    <cfRule type="cellIs" dxfId="7394" priority="8636" operator="between">
      <formula>0.51</formula>
      <formula>0.75</formula>
    </cfRule>
    <cfRule type="cellIs" dxfId="7393" priority="8637" operator="greaterThan">
      <formula>1</formula>
    </cfRule>
    <cfRule type="cellIs" dxfId="7392" priority="8638" operator="between">
      <formula>0.95</formula>
      <formula>1</formula>
    </cfRule>
    <cfRule type="cellIs" dxfId="7391" priority="8639" stopIfTrue="1" operator="between">
      <formula>0</formula>
      <formula>0.5</formula>
    </cfRule>
  </conditionalFormatting>
  <conditionalFormatting sqref="Y300 AF300 R300 AH300:AI300">
    <cfRule type="cellIs" dxfId="7390" priority="8615" operator="between">
      <formula>0.76</formula>
      <formula>0.95</formula>
    </cfRule>
    <cfRule type="cellIs" dxfId="7389" priority="8616" operator="between">
      <formula>0.51</formula>
      <formula>0.75</formula>
    </cfRule>
    <cfRule type="cellIs" dxfId="7388" priority="8617" operator="greaterThan">
      <formula>1</formula>
    </cfRule>
    <cfRule type="cellIs" dxfId="7387" priority="8618" operator="between">
      <formula>0.95</formula>
      <formula>1</formula>
    </cfRule>
    <cfRule type="cellIs" dxfId="7386" priority="8619" stopIfTrue="1" operator="between">
      <formula>0</formula>
      <formula>0.5</formula>
    </cfRule>
  </conditionalFormatting>
  <conditionalFormatting sqref="T300">
    <cfRule type="cellIs" dxfId="7385" priority="8610" operator="between">
      <formula>0.3751</formula>
      <formula>0.475</formula>
    </cfRule>
    <cfRule type="cellIs" dxfId="7384" priority="8611" operator="between">
      <formula>0.2551</formula>
      <formula>0.375</formula>
    </cfRule>
    <cfRule type="cellIs" dxfId="7383" priority="8612" operator="greaterThan">
      <formula>0.505</formula>
    </cfRule>
    <cfRule type="cellIs" dxfId="7382" priority="8613" operator="between">
      <formula>0.48</formula>
      <formula>0.5</formula>
    </cfRule>
    <cfRule type="cellIs" dxfId="7381" priority="8614" stopIfTrue="1" operator="between">
      <formula>0</formula>
      <formula>0.255</formula>
    </cfRule>
  </conditionalFormatting>
  <conditionalFormatting sqref="AA300:AB300">
    <cfRule type="cellIs" dxfId="7380" priority="8605" operator="between">
      <formula>0.56251</formula>
      <formula>0.7125</formula>
    </cfRule>
    <cfRule type="cellIs" dxfId="7379" priority="8606" operator="between">
      <formula>0.3751</formula>
      <formula>0.5625</formula>
    </cfRule>
    <cfRule type="cellIs" dxfId="7378" priority="8607" operator="greaterThan">
      <formula>0.751</formula>
    </cfRule>
    <cfRule type="cellIs" dxfId="7377" priority="8608" operator="between">
      <formula>0.71251</formula>
      <formula>0.75</formula>
    </cfRule>
    <cfRule type="cellIs" dxfId="7376" priority="8609" stopIfTrue="1" operator="between">
      <formula>0</formula>
      <formula>0.375</formula>
    </cfRule>
  </conditionalFormatting>
  <conditionalFormatting sqref="U300">
    <cfRule type="cellIs" dxfId="7375" priority="8595" operator="between">
      <formula>0.376</formula>
      <formula>0.475</formula>
    </cfRule>
    <cfRule type="cellIs" dxfId="7374" priority="8596" operator="between">
      <formula>0.2551</formula>
      <formula>0.3751</formula>
    </cfRule>
    <cfRule type="cellIs" dxfId="7373" priority="8597" operator="greaterThan">
      <formula>0.505</formula>
    </cfRule>
    <cfRule type="cellIs" dxfId="7372" priority="8598" operator="between">
      <formula>0.48</formula>
      <formula>0.5</formula>
    </cfRule>
    <cfRule type="cellIs" dxfId="7371" priority="8599" stopIfTrue="1" operator="between">
      <formula>0</formula>
      <formula>0.255</formula>
    </cfRule>
  </conditionalFormatting>
  <conditionalFormatting sqref="S300">
    <cfRule type="cellIs" dxfId="7370" priority="8582" operator="between">
      <formula>0.76</formula>
      <formula>0.95</formula>
    </cfRule>
    <cfRule type="cellIs" dxfId="7369" priority="8583" operator="between">
      <formula>0.51</formula>
      <formula>0.75</formula>
    </cfRule>
    <cfRule type="cellIs" dxfId="7368" priority="8584" operator="greaterThan">
      <formula>1</formula>
    </cfRule>
    <cfRule type="cellIs" dxfId="7367" priority="8585" operator="between">
      <formula>0.95</formula>
      <formula>1</formula>
    </cfRule>
    <cfRule type="cellIs" dxfId="7366" priority="8586" stopIfTrue="1" operator="between">
      <formula>0</formula>
      <formula>0.5</formula>
    </cfRule>
  </conditionalFormatting>
  <conditionalFormatting sqref="V300">
    <cfRule type="cellIs" dxfId="7365" priority="8577" operator="between">
      <formula>0.376</formula>
      <formula>0.475</formula>
    </cfRule>
    <cfRule type="cellIs" dxfId="7364" priority="8578" operator="between">
      <formula>0.2551</formula>
      <formula>0.3751</formula>
    </cfRule>
    <cfRule type="cellIs" dxfId="7363" priority="8579" operator="greaterThan">
      <formula>0.505</formula>
    </cfRule>
    <cfRule type="cellIs" dxfId="7362" priority="8580" operator="between">
      <formula>0.48</formula>
      <formula>0.5</formula>
    </cfRule>
    <cfRule type="cellIs" dxfId="7361" priority="8581" stopIfTrue="1" operator="between">
      <formula>0</formula>
      <formula>0.255</formula>
    </cfRule>
  </conditionalFormatting>
  <conditionalFormatting sqref="AC300">
    <cfRule type="cellIs" dxfId="7360" priority="8572" operator="between">
      <formula>0.56251</formula>
      <formula>0.7125</formula>
    </cfRule>
    <cfRule type="cellIs" dxfId="7359" priority="8573" operator="between">
      <formula>0.3751</formula>
      <formula>0.5625</formula>
    </cfRule>
    <cfRule type="cellIs" dxfId="7358" priority="8574" operator="greaterThan">
      <formula>0.751</formula>
    </cfRule>
    <cfRule type="cellIs" dxfId="7357" priority="8575" operator="between">
      <formula>0.71251</formula>
      <formula>0.75</formula>
    </cfRule>
    <cfRule type="cellIs" dxfId="7356" priority="8576" stopIfTrue="1" operator="between">
      <formula>0</formula>
      <formula>0.375</formula>
    </cfRule>
  </conditionalFormatting>
  <conditionalFormatting sqref="AG300">
    <cfRule type="cellIs" dxfId="7355" priority="8567" operator="between">
      <formula>0.76</formula>
      <formula>0.95</formula>
    </cfRule>
    <cfRule type="cellIs" dxfId="7354" priority="8568" operator="between">
      <formula>0.51</formula>
      <formula>0.75</formula>
    </cfRule>
    <cfRule type="cellIs" dxfId="7353" priority="8569" operator="greaterThan">
      <formula>1</formula>
    </cfRule>
    <cfRule type="cellIs" dxfId="7352" priority="8570" operator="between">
      <formula>0.95</formula>
      <formula>1</formula>
    </cfRule>
    <cfRule type="cellIs" dxfId="7351" priority="8571" stopIfTrue="1" operator="between">
      <formula>0</formula>
      <formula>0.5</formula>
    </cfRule>
  </conditionalFormatting>
  <conditionalFormatting sqref="Z300">
    <cfRule type="cellIs" dxfId="7350" priority="8562" operator="between">
      <formula>0.76</formula>
      <formula>0.95</formula>
    </cfRule>
    <cfRule type="cellIs" dxfId="7349" priority="8563" operator="between">
      <formula>0.51</formula>
      <formula>0.75</formula>
    </cfRule>
    <cfRule type="cellIs" dxfId="7348" priority="8564" operator="greaterThan">
      <formula>1</formula>
    </cfRule>
    <cfRule type="cellIs" dxfId="7347" priority="8565" operator="between">
      <formula>0.95</formula>
      <formula>1</formula>
    </cfRule>
    <cfRule type="cellIs" dxfId="7346" priority="8566" stopIfTrue="1" operator="between">
      <formula>0</formula>
      <formula>0.5</formula>
    </cfRule>
  </conditionalFormatting>
  <conditionalFormatting sqref="R195 Y195 AF195 AH195:AI195">
    <cfRule type="cellIs" dxfId="7345" priority="8552" operator="between">
      <formula>0.76</formula>
      <formula>0.95</formula>
    </cfRule>
    <cfRule type="cellIs" dxfId="7344" priority="8553" operator="between">
      <formula>0.51</formula>
      <formula>0.75</formula>
    </cfRule>
    <cfRule type="cellIs" dxfId="7343" priority="8554" operator="greaterThan">
      <formula>1</formula>
    </cfRule>
    <cfRule type="cellIs" dxfId="7342" priority="8555" operator="between">
      <formula>0.95</formula>
      <formula>1</formula>
    </cfRule>
    <cfRule type="cellIs" dxfId="7341" priority="8556" stopIfTrue="1" operator="between">
      <formula>0</formula>
      <formula>0.5</formula>
    </cfRule>
  </conditionalFormatting>
  <conditionalFormatting sqref="T195">
    <cfRule type="cellIs" dxfId="7340" priority="8547" operator="between">
      <formula>0.3751</formula>
      <formula>0.475</formula>
    </cfRule>
    <cfRule type="cellIs" dxfId="7339" priority="8548" operator="between">
      <formula>0.2551</formula>
      <formula>0.375</formula>
    </cfRule>
    <cfRule type="cellIs" dxfId="7338" priority="8549" operator="greaterThan">
      <formula>0.505</formula>
    </cfRule>
    <cfRule type="cellIs" dxfId="7337" priority="8550" operator="between">
      <formula>0.48</formula>
      <formula>0.5</formula>
    </cfRule>
    <cfRule type="cellIs" dxfId="7336" priority="8551" stopIfTrue="1" operator="between">
      <formula>0</formula>
      <formula>0.255</formula>
    </cfRule>
  </conditionalFormatting>
  <conditionalFormatting sqref="AA195:AB195">
    <cfRule type="cellIs" dxfId="7335" priority="8542" operator="between">
      <formula>0.56251</formula>
      <formula>0.7125</formula>
    </cfRule>
    <cfRule type="cellIs" dxfId="7334" priority="8543" operator="between">
      <formula>0.3751</formula>
      <formula>0.5625</formula>
    </cfRule>
    <cfRule type="cellIs" dxfId="7333" priority="8544" operator="greaterThan">
      <formula>0.751</formula>
    </cfRule>
    <cfRule type="cellIs" dxfId="7332" priority="8545" operator="between">
      <formula>0.71251</formula>
      <formula>0.75</formula>
    </cfRule>
    <cfRule type="cellIs" dxfId="7331" priority="8546" stopIfTrue="1" operator="between">
      <formula>0</formula>
      <formula>0.375</formula>
    </cfRule>
  </conditionalFormatting>
  <conditionalFormatting sqref="U195">
    <cfRule type="cellIs" dxfId="7330" priority="8532" operator="between">
      <formula>0.376</formula>
      <formula>0.475</formula>
    </cfRule>
    <cfRule type="cellIs" dxfId="7329" priority="8533" operator="between">
      <formula>0.2551</formula>
      <formula>0.3751</formula>
    </cfRule>
    <cfRule type="cellIs" dxfId="7328" priority="8534" operator="greaterThan">
      <formula>0.505</formula>
    </cfRule>
    <cfRule type="cellIs" dxfId="7327" priority="8535" operator="between">
      <formula>0.48</formula>
      <formula>0.5</formula>
    </cfRule>
    <cfRule type="cellIs" dxfId="7326" priority="8536" stopIfTrue="1" operator="between">
      <formula>0</formula>
      <formula>0.255</formula>
    </cfRule>
  </conditionalFormatting>
  <conditionalFormatting sqref="AG195">
    <cfRule type="cellIs" dxfId="7325" priority="8524" operator="between">
      <formula>0.76</formula>
      <formula>0.95</formula>
    </cfRule>
    <cfRule type="cellIs" dxfId="7324" priority="8525" operator="between">
      <formula>0.51</formula>
      <formula>0.75</formula>
    </cfRule>
    <cfRule type="cellIs" dxfId="7323" priority="8526" operator="greaterThan">
      <formula>1</formula>
    </cfRule>
    <cfRule type="cellIs" dxfId="7322" priority="8527" operator="between">
      <formula>0.95</formula>
      <formula>1</formula>
    </cfRule>
    <cfRule type="cellIs" dxfId="7321" priority="8528" stopIfTrue="1" operator="between">
      <formula>0</formula>
      <formula>0.5</formula>
    </cfRule>
  </conditionalFormatting>
  <conditionalFormatting sqref="Z195">
    <cfRule type="cellIs" dxfId="7320" priority="8519" operator="between">
      <formula>0.76</formula>
      <formula>0.95</formula>
    </cfRule>
    <cfRule type="cellIs" dxfId="7319" priority="8520" operator="between">
      <formula>0.51</formula>
      <formula>0.75</formula>
    </cfRule>
    <cfRule type="cellIs" dxfId="7318" priority="8521" operator="greaterThan">
      <formula>1</formula>
    </cfRule>
    <cfRule type="cellIs" dxfId="7317" priority="8522" operator="between">
      <formula>0.95</formula>
      <formula>1</formula>
    </cfRule>
    <cfRule type="cellIs" dxfId="7316" priority="8523" stopIfTrue="1" operator="between">
      <formula>0</formula>
      <formula>0.5</formula>
    </cfRule>
  </conditionalFormatting>
  <conditionalFormatting sqref="AC195">
    <cfRule type="cellIs" dxfId="7315" priority="8514" operator="between">
      <formula>0.56251</formula>
      <formula>0.7125</formula>
    </cfRule>
    <cfRule type="cellIs" dxfId="7314" priority="8515" operator="between">
      <formula>0.3751</formula>
      <formula>0.5625</formula>
    </cfRule>
    <cfRule type="cellIs" dxfId="7313" priority="8516" operator="greaterThan">
      <formula>0.751</formula>
    </cfRule>
    <cfRule type="cellIs" dxfId="7312" priority="8517" operator="between">
      <formula>0.71251</formula>
      <formula>0.75</formula>
    </cfRule>
    <cfRule type="cellIs" dxfId="7311" priority="8518" stopIfTrue="1" operator="between">
      <formula>0</formula>
      <formula>0.375</formula>
    </cfRule>
  </conditionalFormatting>
  <conditionalFormatting sqref="V195">
    <cfRule type="cellIs" dxfId="7310" priority="8509" operator="between">
      <formula>0.376</formula>
      <formula>0.475</formula>
    </cfRule>
    <cfRule type="cellIs" dxfId="7309" priority="8510" operator="between">
      <formula>0.2551</formula>
      <formula>0.3751</formula>
    </cfRule>
    <cfRule type="cellIs" dxfId="7308" priority="8511" operator="greaterThan">
      <formula>0.505</formula>
    </cfRule>
    <cfRule type="cellIs" dxfId="7307" priority="8512" operator="between">
      <formula>0.48</formula>
      <formula>0.5</formula>
    </cfRule>
    <cfRule type="cellIs" dxfId="7306" priority="8513" stopIfTrue="1" operator="between">
      <formula>0</formula>
      <formula>0.255</formula>
    </cfRule>
  </conditionalFormatting>
  <conditionalFormatting sqref="S195">
    <cfRule type="cellIs" dxfId="7305" priority="8489" operator="between">
      <formula>0.76</formula>
      <formula>0.95</formula>
    </cfRule>
    <cfRule type="cellIs" dxfId="7304" priority="8490" operator="between">
      <formula>0.51</formula>
      <formula>0.75</formula>
    </cfRule>
    <cfRule type="cellIs" dxfId="7303" priority="8491" operator="greaterThan">
      <formula>1</formula>
    </cfRule>
    <cfRule type="cellIs" dxfId="7302" priority="8492" operator="between">
      <formula>0.95</formula>
      <formula>1</formula>
    </cfRule>
    <cfRule type="cellIs" dxfId="7301" priority="8493" stopIfTrue="1" operator="between">
      <formula>0</formula>
      <formula>0.5</formula>
    </cfRule>
  </conditionalFormatting>
  <conditionalFormatting sqref="R196:R199 Y196:Y199 AF196:AF199 AH196:AI199">
    <cfRule type="cellIs" dxfId="7300" priority="8469" operator="between">
      <formula>0.76</formula>
      <formula>0.95</formula>
    </cfRule>
    <cfRule type="cellIs" dxfId="7299" priority="8470" operator="between">
      <formula>0.51</formula>
      <formula>0.75</formula>
    </cfRule>
    <cfRule type="cellIs" dxfId="7298" priority="8471" operator="greaterThan">
      <formula>1</formula>
    </cfRule>
    <cfRule type="cellIs" dxfId="7297" priority="8472" operator="between">
      <formula>0.95</formula>
      <formula>1</formula>
    </cfRule>
    <cfRule type="cellIs" dxfId="7296" priority="8473" stopIfTrue="1" operator="between">
      <formula>0</formula>
      <formula>0.5</formula>
    </cfRule>
  </conditionalFormatting>
  <conditionalFormatting sqref="T196:T199">
    <cfRule type="cellIs" dxfId="7295" priority="8464" operator="between">
      <formula>0.3751</formula>
      <formula>0.475</formula>
    </cfRule>
    <cfRule type="cellIs" dxfId="7294" priority="8465" operator="between">
      <formula>0.2551</formula>
      <formula>0.375</formula>
    </cfRule>
    <cfRule type="cellIs" dxfId="7293" priority="8466" operator="greaterThan">
      <formula>0.505</formula>
    </cfRule>
    <cfRule type="cellIs" dxfId="7292" priority="8467" operator="between">
      <formula>0.48</formula>
      <formula>0.5</formula>
    </cfRule>
    <cfRule type="cellIs" dxfId="7291" priority="8468" stopIfTrue="1" operator="between">
      <formula>0</formula>
      <formula>0.255</formula>
    </cfRule>
  </conditionalFormatting>
  <conditionalFormatting sqref="AA196:AB199">
    <cfRule type="cellIs" dxfId="7290" priority="8459" operator="between">
      <formula>0.56251</formula>
      <formula>0.7125</formula>
    </cfRule>
    <cfRule type="cellIs" dxfId="7289" priority="8460" operator="between">
      <formula>0.3751</formula>
      <formula>0.5625</formula>
    </cfRule>
    <cfRule type="cellIs" dxfId="7288" priority="8461" operator="greaterThan">
      <formula>0.751</formula>
    </cfRule>
    <cfRule type="cellIs" dxfId="7287" priority="8462" operator="between">
      <formula>0.71251</formula>
      <formula>0.75</formula>
    </cfRule>
    <cfRule type="cellIs" dxfId="7286" priority="8463" stopIfTrue="1" operator="between">
      <formula>0</formula>
      <formula>0.375</formula>
    </cfRule>
  </conditionalFormatting>
  <conditionalFormatting sqref="U196:U199">
    <cfRule type="cellIs" dxfId="7285" priority="8449" operator="between">
      <formula>0.376</formula>
      <formula>0.475</formula>
    </cfRule>
    <cfRule type="cellIs" dxfId="7284" priority="8450" operator="between">
      <formula>0.2551</formula>
      <formula>0.3751</formula>
    </cfRule>
    <cfRule type="cellIs" dxfId="7283" priority="8451" operator="greaterThan">
      <formula>0.505</formula>
    </cfRule>
    <cfRule type="cellIs" dxfId="7282" priority="8452" operator="between">
      <formula>0.48</formula>
      <formula>0.5</formula>
    </cfRule>
    <cfRule type="cellIs" dxfId="7281" priority="8453" stopIfTrue="1" operator="between">
      <formula>0</formula>
      <formula>0.255</formula>
    </cfRule>
  </conditionalFormatting>
  <conditionalFormatting sqref="AG196:AG198">
    <cfRule type="cellIs" dxfId="7280" priority="8441" operator="between">
      <formula>0.76</formula>
      <formula>0.95</formula>
    </cfRule>
    <cfRule type="cellIs" dxfId="7279" priority="8442" operator="between">
      <formula>0.51</formula>
      <formula>0.75</formula>
    </cfRule>
    <cfRule type="cellIs" dxfId="7278" priority="8443" operator="greaterThan">
      <formula>1</formula>
    </cfRule>
    <cfRule type="cellIs" dxfId="7277" priority="8444" operator="between">
      <formula>0.95</formula>
      <formula>1</formula>
    </cfRule>
    <cfRule type="cellIs" dxfId="7276" priority="8445" stopIfTrue="1" operator="between">
      <formula>0</formula>
      <formula>0.5</formula>
    </cfRule>
  </conditionalFormatting>
  <conditionalFormatting sqref="Z196:Z198">
    <cfRule type="cellIs" dxfId="7275" priority="8436" operator="between">
      <formula>0.76</formula>
      <formula>0.95</formula>
    </cfRule>
    <cfRule type="cellIs" dxfId="7274" priority="8437" operator="between">
      <formula>0.51</formula>
      <formula>0.75</formula>
    </cfRule>
    <cfRule type="cellIs" dxfId="7273" priority="8438" operator="greaterThan">
      <formula>1</formula>
    </cfRule>
    <cfRule type="cellIs" dxfId="7272" priority="8439" operator="between">
      <formula>0.95</formula>
      <formula>1</formula>
    </cfRule>
    <cfRule type="cellIs" dxfId="7271" priority="8440" stopIfTrue="1" operator="between">
      <formula>0</formula>
      <formula>0.5</formula>
    </cfRule>
  </conditionalFormatting>
  <conditionalFormatting sqref="AC196:AC199">
    <cfRule type="cellIs" dxfId="7270" priority="8431" operator="between">
      <formula>0.56251</formula>
      <formula>0.7125</formula>
    </cfRule>
    <cfRule type="cellIs" dxfId="7269" priority="8432" operator="between">
      <formula>0.3751</formula>
      <formula>0.5625</formula>
    </cfRule>
    <cfRule type="cellIs" dxfId="7268" priority="8433" operator="greaterThan">
      <formula>0.751</formula>
    </cfRule>
    <cfRule type="cellIs" dxfId="7267" priority="8434" operator="between">
      <formula>0.71251</formula>
      <formula>0.75</formula>
    </cfRule>
    <cfRule type="cellIs" dxfId="7266" priority="8435" stopIfTrue="1" operator="between">
      <formula>0</formula>
      <formula>0.375</formula>
    </cfRule>
  </conditionalFormatting>
  <conditionalFormatting sqref="V196:V199">
    <cfRule type="cellIs" dxfId="7265" priority="8426" operator="between">
      <formula>0.376</formula>
      <formula>0.475</formula>
    </cfRule>
    <cfRule type="cellIs" dxfId="7264" priority="8427" operator="between">
      <formula>0.2551</formula>
      <formula>0.3751</formula>
    </cfRule>
    <cfRule type="cellIs" dxfId="7263" priority="8428" operator="greaterThan">
      <formula>0.505</formula>
    </cfRule>
    <cfRule type="cellIs" dxfId="7262" priority="8429" operator="between">
      <formula>0.48</formula>
      <formula>0.5</formula>
    </cfRule>
    <cfRule type="cellIs" dxfId="7261" priority="8430" stopIfTrue="1" operator="between">
      <formula>0</formula>
      <formula>0.255</formula>
    </cfRule>
  </conditionalFormatting>
  <conditionalFormatting sqref="R250:S250 Y250:Z250 AF250:AI250">
    <cfRule type="cellIs" dxfId="7260" priority="8401" operator="between">
      <formula>0.76</formula>
      <formula>0.95</formula>
    </cfRule>
    <cfRule type="cellIs" dxfId="7259" priority="8402" operator="between">
      <formula>0.51</formula>
      <formula>0.75</formula>
    </cfRule>
    <cfRule type="cellIs" dxfId="7258" priority="8403" operator="greaterThan">
      <formula>1</formula>
    </cfRule>
    <cfRule type="cellIs" dxfId="7257" priority="8404" operator="between">
      <formula>0.95</formula>
      <formula>1</formula>
    </cfRule>
    <cfRule type="cellIs" dxfId="7256" priority="8405" stopIfTrue="1" operator="between">
      <formula>0</formula>
      <formula>0.5</formula>
    </cfRule>
  </conditionalFormatting>
  <conditionalFormatting sqref="T250">
    <cfRule type="cellIs" dxfId="7255" priority="8396" operator="between">
      <formula>0.3751</formula>
      <formula>0.475</formula>
    </cfRule>
    <cfRule type="cellIs" dxfId="7254" priority="8397" operator="between">
      <formula>0.2551</formula>
      <formula>0.375</formula>
    </cfRule>
    <cfRule type="cellIs" dxfId="7253" priority="8398" operator="greaterThan">
      <formula>0.505</formula>
    </cfRule>
    <cfRule type="cellIs" dxfId="7252" priority="8399" operator="between">
      <formula>0.48</formula>
      <formula>0.5</formula>
    </cfRule>
    <cfRule type="cellIs" dxfId="7251" priority="8400" stopIfTrue="1" operator="between">
      <formula>0</formula>
      <formula>0.255</formula>
    </cfRule>
  </conditionalFormatting>
  <conditionalFormatting sqref="AA250:AC250">
    <cfRule type="cellIs" dxfId="7250" priority="8391" operator="between">
      <formula>0.56251</formula>
      <formula>0.7125</formula>
    </cfRule>
    <cfRule type="cellIs" dxfId="7249" priority="8392" operator="between">
      <formula>0.3751</formula>
      <formula>0.5625</formula>
    </cfRule>
    <cfRule type="cellIs" dxfId="7248" priority="8393" operator="greaterThan">
      <formula>0.751</formula>
    </cfRule>
    <cfRule type="cellIs" dxfId="7247" priority="8394" operator="between">
      <formula>0.71251</formula>
      <formula>0.75</formula>
    </cfRule>
    <cfRule type="cellIs" dxfId="7246" priority="8395" stopIfTrue="1" operator="between">
      <formula>0</formula>
      <formula>0.375</formula>
    </cfRule>
  </conditionalFormatting>
  <conditionalFormatting sqref="U250:V250">
    <cfRule type="cellIs" dxfId="7245" priority="8381" operator="between">
      <formula>0.376</formula>
      <formula>0.475</formula>
    </cfRule>
    <cfRule type="cellIs" dxfId="7244" priority="8382" operator="between">
      <formula>0.2551</formula>
      <formula>0.3751</formula>
    </cfRule>
    <cfRule type="cellIs" dxfId="7243" priority="8383" operator="greaterThan">
      <formula>0.505</formula>
    </cfRule>
    <cfRule type="cellIs" dxfId="7242" priority="8384" operator="between">
      <formula>0.48</formula>
      <formula>0.5</formula>
    </cfRule>
    <cfRule type="cellIs" dxfId="7241" priority="8385" stopIfTrue="1" operator="between">
      <formula>0</formula>
      <formula>0.255</formula>
    </cfRule>
  </conditionalFormatting>
  <conditionalFormatting sqref="AG201 S201 Z201">
    <cfRule type="cellIs" dxfId="7240" priority="8363" operator="between">
      <formula>0.76</formula>
      <formula>0.95</formula>
    </cfRule>
    <cfRule type="cellIs" dxfId="7239" priority="8364" operator="between">
      <formula>0.51</formula>
      <formula>0.75</formula>
    </cfRule>
    <cfRule type="cellIs" dxfId="7238" priority="8365" operator="greaterThan">
      <formula>1</formula>
    </cfRule>
    <cfRule type="cellIs" dxfId="7237" priority="8366" operator="between">
      <formula>0.95</formula>
      <formula>1</formula>
    </cfRule>
    <cfRule type="cellIs" dxfId="7236" priority="8367" stopIfTrue="1" operator="between">
      <formula>0</formula>
      <formula>0.5</formula>
    </cfRule>
  </conditionalFormatting>
  <conditionalFormatting sqref="R201">
    <cfRule type="cellIs" dxfId="7235" priority="8353" operator="between">
      <formula>0.76</formula>
      <formula>0.95</formula>
    </cfRule>
    <cfRule type="cellIs" dxfId="7234" priority="8354" operator="between">
      <formula>0.51</formula>
      <formula>0.75</formula>
    </cfRule>
    <cfRule type="cellIs" dxfId="7233" priority="8355" operator="greaterThan">
      <formula>1</formula>
    </cfRule>
    <cfRule type="cellIs" dxfId="7232" priority="8356" operator="between">
      <formula>0.95</formula>
      <formula>1</formula>
    </cfRule>
    <cfRule type="cellIs" dxfId="7231" priority="8357" stopIfTrue="1" operator="between">
      <formula>0</formula>
      <formula>0.5</formula>
    </cfRule>
  </conditionalFormatting>
  <conditionalFormatting sqref="Y201">
    <cfRule type="cellIs" dxfId="7230" priority="8348" operator="between">
      <formula>0.76</formula>
      <formula>0.95</formula>
    </cfRule>
    <cfRule type="cellIs" dxfId="7229" priority="8349" operator="between">
      <formula>0.51</formula>
      <formula>0.75</formula>
    </cfRule>
    <cfRule type="cellIs" dxfId="7228" priority="8350" operator="greaterThan">
      <formula>1</formula>
    </cfRule>
    <cfRule type="cellIs" dxfId="7227" priority="8351" operator="between">
      <formula>0.95</formula>
      <formula>1</formula>
    </cfRule>
    <cfRule type="cellIs" dxfId="7226" priority="8352" stopIfTrue="1" operator="between">
      <formula>0</formula>
      <formula>0.5</formula>
    </cfRule>
  </conditionalFormatting>
  <conditionalFormatting sqref="AF201">
    <cfRule type="cellIs" dxfId="7225" priority="8343" operator="between">
      <formula>0.76</formula>
      <formula>0.95</formula>
    </cfRule>
    <cfRule type="cellIs" dxfId="7224" priority="8344" operator="between">
      <formula>0.51</formula>
      <formula>0.75</formula>
    </cfRule>
    <cfRule type="cellIs" dxfId="7223" priority="8345" operator="greaterThan">
      <formula>1</formula>
    </cfRule>
    <cfRule type="cellIs" dxfId="7222" priority="8346" operator="between">
      <formula>0.95</formula>
      <formula>1</formula>
    </cfRule>
    <cfRule type="cellIs" dxfId="7221" priority="8347" stopIfTrue="1" operator="between">
      <formula>0</formula>
      <formula>0.5</formula>
    </cfRule>
  </conditionalFormatting>
  <conditionalFormatting sqref="O201">
    <cfRule type="cellIs" dxfId="7220" priority="8333" operator="between">
      <formula>0.1876</formula>
      <formula>0.2375</formula>
    </cfRule>
    <cfRule type="cellIs" dxfId="7219" priority="8334" operator="between">
      <formula>0.1251</formula>
      <formula>0.1875</formula>
    </cfRule>
    <cfRule type="cellIs" dxfId="7218" priority="8335" operator="greaterThan">
      <formula>0.25</formula>
    </cfRule>
    <cfRule type="cellIs" dxfId="7217" priority="8336" operator="between">
      <formula>0.2376</formula>
      <formula>0.25</formula>
    </cfRule>
    <cfRule type="cellIs" dxfId="7216" priority="8337" stopIfTrue="1" operator="between">
      <formula>0</formula>
      <formula>0.125</formula>
    </cfRule>
  </conditionalFormatting>
  <conditionalFormatting sqref="M201">
    <cfRule type="cellIs" dxfId="7215" priority="8328" operator="between">
      <formula>0.1876</formula>
      <formula>0.2375</formula>
    </cfRule>
    <cfRule type="cellIs" dxfId="7214" priority="8329" operator="between">
      <formula>0.1251</formula>
      <formula>0.1875</formula>
    </cfRule>
    <cfRule type="cellIs" dxfId="7213" priority="8330" operator="greaterThan">
      <formula>0.25</formula>
    </cfRule>
    <cfRule type="cellIs" dxfId="7212" priority="8331" operator="between">
      <formula>0.2376</formula>
      <formula>0.25</formula>
    </cfRule>
    <cfRule type="cellIs" dxfId="7211" priority="8332" stopIfTrue="1" operator="between">
      <formula>0</formula>
      <formula>0.125</formula>
    </cfRule>
  </conditionalFormatting>
  <conditionalFormatting sqref="AI200">
    <cfRule type="cellIs" dxfId="7210" priority="8286" operator="between">
      <formula>0.76</formula>
      <formula>0.95</formula>
    </cfRule>
    <cfRule type="cellIs" dxfId="7209" priority="8287" operator="between">
      <formula>0.51</formula>
      <formula>0.75</formula>
    </cfRule>
    <cfRule type="cellIs" dxfId="7208" priority="8288" operator="greaterThan">
      <formula>1</formula>
    </cfRule>
    <cfRule type="cellIs" dxfId="7207" priority="8289" operator="between">
      <formula>0.95</formula>
      <formula>1</formula>
    </cfRule>
    <cfRule type="cellIs" dxfId="7206" priority="8290" stopIfTrue="1" operator="between">
      <formula>0</formula>
      <formula>0.5</formula>
    </cfRule>
  </conditionalFormatting>
  <conditionalFormatting sqref="R200">
    <cfRule type="cellIs" dxfId="7205" priority="8276" operator="between">
      <formula>0.76</formula>
      <formula>0.95</formula>
    </cfRule>
    <cfRule type="cellIs" dxfId="7204" priority="8277" operator="between">
      <formula>0.51</formula>
      <formula>0.75</formula>
    </cfRule>
    <cfRule type="cellIs" dxfId="7203" priority="8278" operator="greaterThan">
      <formula>1</formula>
    </cfRule>
    <cfRule type="cellIs" dxfId="7202" priority="8279" operator="between">
      <formula>0.95</formula>
      <formula>1</formula>
    </cfRule>
    <cfRule type="cellIs" dxfId="7201" priority="8280" stopIfTrue="1" operator="between">
      <formula>0</formula>
      <formula>0.5</formula>
    </cfRule>
  </conditionalFormatting>
  <conditionalFormatting sqref="Y200">
    <cfRule type="cellIs" dxfId="7200" priority="8271" operator="between">
      <formula>0.76</formula>
      <formula>0.95</formula>
    </cfRule>
    <cfRule type="cellIs" dxfId="7199" priority="8272" operator="between">
      <formula>0.51</formula>
      <formula>0.75</formula>
    </cfRule>
    <cfRule type="cellIs" dxfId="7198" priority="8273" operator="greaterThan">
      <formula>1</formula>
    </cfRule>
    <cfRule type="cellIs" dxfId="7197" priority="8274" operator="between">
      <formula>0.95</formula>
      <formula>1</formula>
    </cfRule>
    <cfRule type="cellIs" dxfId="7196" priority="8275" stopIfTrue="1" operator="between">
      <formula>0</formula>
      <formula>0.5</formula>
    </cfRule>
  </conditionalFormatting>
  <conditionalFormatting sqref="AF200">
    <cfRule type="cellIs" dxfId="7195" priority="8266" operator="between">
      <formula>0.76</formula>
      <formula>0.95</formula>
    </cfRule>
    <cfRule type="cellIs" dxfId="7194" priority="8267" operator="between">
      <formula>0.51</formula>
      <formula>0.75</formula>
    </cfRule>
    <cfRule type="cellIs" dxfId="7193" priority="8268" operator="greaterThan">
      <formula>1</formula>
    </cfRule>
    <cfRule type="cellIs" dxfId="7192" priority="8269" operator="between">
      <formula>0.95</formula>
      <formula>1</formula>
    </cfRule>
    <cfRule type="cellIs" dxfId="7191" priority="8270" stopIfTrue="1" operator="between">
      <formula>0</formula>
      <formula>0.5</formula>
    </cfRule>
  </conditionalFormatting>
  <conditionalFormatting sqref="AH200">
    <cfRule type="cellIs" dxfId="7190" priority="8261" operator="between">
      <formula>0.76</formula>
      <formula>0.95</formula>
    </cfRule>
    <cfRule type="cellIs" dxfId="7189" priority="8262" operator="between">
      <formula>0.51</formula>
      <formula>0.75</formula>
    </cfRule>
    <cfRule type="cellIs" dxfId="7188" priority="8263" operator="greaterThan">
      <formula>1</formula>
    </cfRule>
    <cfRule type="cellIs" dxfId="7187" priority="8264" operator="between">
      <formula>0.95</formula>
      <formula>1</formula>
    </cfRule>
    <cfRule type="cellIs" dxfId="7186" priority="8265" stopIfTrue="1" operator="between">
      <formula>0</formula>
      <formula>0.5</formula>
    </cfRule>
  </conditionalFormatting>
  <conditionalFormatting sqref="T200">
    <cfRule type="cellIs" dxfId="7185" priority="8246" operator="between">
      <formula>0.3751</formula>
      <formula>0.475</formula>
    </cfRule>
    <cfRule type="cellIs" dxfId="7184" priority="8247" operator="between">
      <formula>0.2551</formula>
      <formula>0.375</formula>
    </cfRule>
    <cfRule type="cellIs" dxfId="7183" priority="8248" operator="greaterThan">
      <formula>0.505</formula>
    </cfRule>
    <cfRule type="cellIs" dxfId="7182" priority="8249" operator="between">
      <formula>0.48</formula>
      <formula>0.5</formula>
    </cfRule>
    <cfRule type="cellIs" dxfId="7181" priority="8250" stopIfTrue="1" operator="between">
      <formula>0</formula>
      <formula>0.255</formula>
    </cfRule>
  </conditionalFormatting>
  <conditionalFormatting sqref="U200:V200">
    <cfRule type="cellIs" dxfId="7180" priority="8241" operator="between">
      <formula>0.376</formula>
      <formula>0.475</formula>
    </cfRule>
    <cfRule type="cellIs" dxfId="7179" priority="8242" operator="between">
      <formula>0.2551</formula>
      <formula>0.3751</formula>
    </cfRule>
    <cfRule type="cellIs" dxfId="7178" priority="8243" operator="greaterThan">
      <formula>0.505</formula>
    </cfRule>
    <cfRule type="cellIs" dxfId="7177" priority="8244" operator="between">
      <formula>0.48</formula>
      <formula>0.5</formula>
    </cfRule>
    <cfRule type="cellIs" dxfId="7176" priority="8245" stopIfTrue="1" operator="between">
      <formula>0</formula>
      <formula>0.255</formula>
    </cfRule>
  </conditionalFormatting>
  <conditionalFormatting sqref="AA200">
    <cfRule type="cellIs" dxfId="7175" priority="8236" operator="between">
      <formula>0.56251</formula>
      <formula>0.7125</formula>
    </cfRule>
    <cfRule type="cellIs" dxfId="7174" priority="8237" operator="between">
      <formula>0.3751</formula>
      <formula>0.5625</formula>
    </cfRule>
    <cfRule type="cellIs" dxfId="7173" priority="8238" operator="greaterThan">
      <formula>0.751</formula>
    </cfRule>
    <cfRule type="cellIs" dxfId="7172" priority="8239" operator="between">
      <formula>0.71251</formula>
      <formula>0.75</formula>
    </cfRule>
    <cfRule type="cellIs" dxfId="7171" priority="8240" stopIfTrue="1" operator="between">
      <formula>0</formula>
      <formula>0.375</formula>
    </cfRule>
  </conditionalFormatting>
  <conditionalFormatting sqref="AC200">
    <cfRule type="cellIs" dxfId="7170" priority="8231" operator="between">
      <formula>0.56251</formula>
      <formula>0.7125</formula>
    </cfRule>
    <cfRule type="cellIs" dxfId="7169" priority="8232" operator="between">
      <formula>0.3751</formula>
      <formula>0.5625</formula>
    </cfRule>
    <cfRule type="cellIs" dxfId="7168" priority="8233" operator="greaterThan">
      <formula>0.751</formula>
    </cfRule>
    <cfRule type="cellIs" dxfId="7167" priority="8234" operator="between">
      <formula>0.71251</formula>
      <formula>0.75</formula>
    </cfRule>
    <cfRule type="cellIs" dxfId="7166" priority="8235" stopIfTrue="1" operator="between">
      <formula>0</formula>
      <formula>0.375</formula>
    </cfRule>
  </conditionalFormatting>
  <conditionalFormatting sqref="AB200">
    <cfRule type="cellIs" dxfId="7165" priority="8226" operator="between">
      <formula>0.56251</formula>
      <formula>0.7125</formula>
    </cfRule>
    <cfRule type="cellIs" dxfId="7164" priority="8227" operator="between">
      <formula>0.3751</formula>
      <formula>0.5625</formula>
    </cfRule>
    <cfRule type="cellIs" dxfId="7163" priority="8228" operator="greaterThan">
      <formula>0.751</formula>
    </cfRule>
    <cfRule type="cellIs" dxfId="7162" priority="8229" operator="between">
      <formula>0.71251</formula>
      <formula>0.75</formula>
    </cfRule>
    <cfRule type="cellIs" dxfId="7161" priority="8230" stopIfTrue="1" operator="between">
      <formula>0</formula>
      <formula>0.375</formula>
    </cfRule>
  </conditionalFormatting>
  <conditionalFormatting sqref="S196">
    <cfRule type="cellIs" dxfId="7160" priority="8209" operator="between">
      <formula>0.76</formula>
      <formula>0.95</formula>
    </cfRule>
    <cfRule type="cellIs" dxfId="7159" priority="8210" operator="between">
      <formula>0.51</formula>
      <formula>0.75</formula>
    </cfRule>
    <cfRule type="cellIs" dxfId="7158" priority="8211" operator="greaterThan">
      <formula>1</formula>
    </cfRule>
    <cfRule type="cellIs" dxfId="7157" priority="8212" operator="between">
      <formula>0.95</formula>
      <formula>1</formula>
    </cfRule>
    <cfRule type="cellIs" dxfId="7156" priority="8213" stopIfTrue="1" operator="between">
      <formula>0</formula>
      <formula>0.5</formula>
    </cfRule>
  </conditionalFormatting>
  <conditionalFormatting sqref="S199:S200">
    <cfRule type="cellIs" dxfId="7155" priority="8204" operator="between">
      <formula>0.76</formula>
      <formula>0.95</formula>
    </cfRule>
    <cfRule type="cellIs" dxfId="7154" priority="8205" operator="between">
      <formula>0.51</formula>
      <formula>0.75</formula>
    </cfRule>
    <cfRule type="cellIs" dxfId="7153" priority="8206" operator="greaterThan">
      <formula>1</formula>
    </cfRule>
    <cfRule type="cellIs" dxfId="7152" priority="8207" operator="between">
      <formula>0.95</formula>
      <formula>1</formula>
    </cfRule>
    <cfRule type="cellIs" dxfId="7151" priority="8208" stopIfTrue="1" operator="between">
      <formula>0</formula>
      <formula>0.5</formula>
    </cfRule>
  </conditionalFormatting>
  <conditionalFormatting sqref="Z199:Z200">
    <cfRule type="cellIs" dxfId="7150" priority="8199" operator="between">
      <formula>0.76</formula>
      <formula>0.95</formula>
    </cfRule>
    <cfRule type="cellIs" dxfId="7149" priority="8200" operator="between">
      <formula>0.51</formula>
      <formula>0.75</formula>
    </cfRule>
    <cfRule type="cellIs" dxfId="7148" priority="8201" operator="greaterThan">
      <formula>1</formula>
    </cfRule>
    <cfRule type="cellIs" dxfId="7147" priority="8202" operator="between">
      <formula>0.95</formula>
      <formula>1</formula>
    </cfRule>
    <cfRule type="cellIs" dxfId="7146" priority="8203" stopIfTrue="1" operator="between">
      <formula>0</formula>
      <formula>0.5</formula>
    </cfRule>
  </conditionalFormatting>
  <conditionalFormatting sqref="AG199">
    <cfRule type="cellIs" dxfId="7145" priority="8194" operator="between">
      <formula>0.76</formula>
      <formula>0.95</formula>
    </cfRule>
    <cfRule type="cellIs" dxfId="7144" priority="8195" operator="between">
      <formula>0.51</formula>
      <formula>0.75</formula>
    </cfRule>
    <cfRule type="cellIs" dxfId="7143" priority="8196" operator="greaterThan">
      <formula>1</formula>
    </cfRule>
    <cfRule type="cellIs" dxfId="7142" priority="8197" operator="between">
      <formula>0.95</formula>
      <formula>1</formula>
    </cfRule>
    <cfRule type="cellIs" dxfId="7141" priority="8198" stopIfTrue="1" operator="between">
      <formula>0</formula>
      <formula>0.5</formula>
    </cfRule>
  </conditionalFormatting>
  <conditionalFormatting sqref="Y302 AF302 R302 AH302:AI302">
    <cfRule type="cellIs" dxfId="7140" priority="8189" operator="between">
      <formula>0.76</formula>
      <formula>0.95</formula>
    </cfRule>
    <cfRule type="cellIs" dxfId="7139" priority="8190" operator="between">
      <formula>0.51</formula>
      <formula>0.75</formula>
    </cfRule>
    <cfRule type="cellIs" dxfId="7138" priority="8191" operator="greaterThan">
      <formula>1</formula>
    </cfRule>
    <cfRule type="cellIs" dxfId="7137" priority="8192" operator="between">
      <formula>0.95</formula>
      <formula>1</formula>
    </cfRule>
    <cfRule type="cellIs" dxfId="7136" priority="8193" stopIfTrue="1" operator="between">
      <formula>0</formula>
      <formula>0.5</formula>
    </cfRule>
  </conditionalFormatting>
  <conditionalFormatting sqref="T302">
    <cfRule type="cellIs" dxfId="7135" priority="8184" operator="between">
      <formula>0.3751</formula>
      <formula>0.475</formula>
    </cfRule>
    <cfRule type="cellIs" dxfId="7134" priority="8185" operator="between">
      <formula>0.2551</formula>
      <formula>0.375</formula>
    </cfRule>
    <cfRule type="cellIs" dxfId="7133" priority="8186" operator="greaterThan">
      <formula>0.505</formula>
    </cfRule>
    <cfRule type="cellIs" dxfId="7132" priority="8187" operator="between">
      <formula>0.48</formula>
      <formula>0.5</formula>
    </cfRule>
    <cfRule type="cellIs" dxfId="7131" priority="8188" stopIfTrue="1" operator="between">
      <formula>0</formula>
      <formula>0.255</formula>
    </cfRule>
  </conditionalFormatting>
  <conditionalFormatting sqref="AA302:AB302">
    <cfRule type="cellIs" dxfId="7130" priority="8179" operator="between">
      <formula>0.56251</formula>
      <formula>0.7125</formula>
    </cfRule>
    <cfRule type="cellIs" dxfId="7129" priority="8180" operator="between">
      <formula>0.3751</formula>
      <formula>0.5625</formula>
    </cfRule>
    <cfRule type="cellIs" dxfId="7128" priority="8181" operator="greaterThan">
      <formula>0.751</formula>
    </cfRule>
    <cfRule type="cellIs" dxfId="7127" priority="8182" operator="between">
      <formula>0.71251</formula>
      <formula>0.75</formula>
    </cfRule>
    <cfRule type="cellIs" dxfId="7126" priority="8183" stopIfTrue="1" operator="between">
      <formula>0</formula>
      <formula>0.375</formula>
    </cfRule>
  </conditionalFormatting>
  <conditionalFormatting sqref="U302">
    <cfRule type="cellIs" dxfId="7125" priority="8169" operator="between">
      <formula>0.376</formula>
      <formula>0.475</formula>
    </cfRule>
    <cfRule type="cellIs" dxfId="7124" priority="8170" operator="between">
      <formula>0.2551</formula>
      <formula>0.3751</formula>
    </cfRule>
    <cfRule type="cellIs" dxfId="7123" priority="8171" operator="greaterThan">
      <formula>0.505</formula>
    </cfRule>
    <cfRule type="cellIs" dxfId="7122" priority="8172" operator="between">
      <formula>0.48</formula>
      <formula>0.5</formula>
    </cfRule>
    <cfRule type="cellIs" dxfId="7121" priority="8173" stopIfTrue="1" operator="between">
      <formula>0</formula>
      <formula>0.255</formula>
    </cfRule>
  </conditionalFormatting>
  <conditionalFormatting sqref="S302">
    <cfRule type="cellIs" dxfId="7120" priority="8156" operator="between">
      <formula>0.76</formula>
      <formula>0.95</formula>
    </cfRule>
    <cfRule type="cellIs" dxfId="7119" priority="8157" operator="between">
      <formula>0.51</formula>
      <formula>0.75</formula>
    </cfRule>
    <cfRule type="cellIs" dxfId="7118" priority="8158" operator="greaterThan">
      <formula>1</formula>
    </cfRule>
    <cfRule type="cellIs" dxfId="7117" priority="8159" operator="between">
      <formula>0.95</formula>
      <formula>1</formula>
    </cfRule>
    <cfRule type="cellIs" dxfId="7116" priority="8160" stopIfTrue="1" operator="between">
      <formula>0</formula>
      <formula>0.5</formula>
    </cfRule>
  </conditionalFormatting>
  <conditionalFormatting sqref="V302">
    <cfRule type="cellIs" dxfId="7115" priority="8151" operator="between">
      <formula>0.376</formula>
      <formula>0.475</formula>
    </cfRule>
    <cfRule type="cellIs" dxfId="7114" priority="8152" operator="between">
      <formula>0.2551</formula>
      <formula>0.3751</formula>
    </cfRule>
    <cfRule type="cellIs" dxfId="7113" priority="8153" operator="greaterThan">
      <formula>0.505</formula>
    </cfRule>
    <cfRule type="cellIs" dxfId="7112" priority="8154" operator="between">
      <formula>0.48</formula>
      <formula>0.5</formula>
    </cfRule>
    <cfRule type="cellIs" dxfId="7111" priority="8155" stopIfTrue="1" operator="between">
      <formula>0</formula>
      <formula>0.255</formula>
    </cfRule>
  </conditionalFormatting>
  <conditionalFormatting sqref="AC302">
    <cfRule type="cellIs" dxfId="7110" priority="8146" operator="between">
      <formula>0.56251</formula>
      <formula>0.7125</formula>
    </cfRule>
    <cfRule type="cellIs" dxfId="7109" priority="8147" operator="between">
      <formula>0.3751</formula>
      <formula>0.5625</formula>
    </cfRule>
    <cfRule type="cellIs" dxfId="7108" priority="8148" operator="greaterThan">
      <formula>0.751</formula>
    </cfRule>
    <cfRule type="cellIs" dxfId="7107" priority="8149" operator="between">
      <formula>0.71251</formula>
      <formula>0.75</formula>
    </cfRule>
    <cfRule type="cellIs" dxfId="7106" priority="8150" stopIfTrue="1" operator="between">
      <formula>0</formula>
      <formula>0.375</formula>
    </cfRule>
  </conditionalFormatting>
  <conditionalFormatting sqref="AG302">
    <cfRule type="cellIs" dxfId="7105" priority="8141" operator="between">
      <formula>0.76</formula>
      <formula>0.95</formula>
    </cfRule>
    <cfRule type="cellIs" dxfId="7104" priority="8142" operator="between">
      <formula>0.51</formula>
      <formula>0.75</formula>
    </cfRule>
    <cfRule type="cellIs" dxfId="7103" priority="8143" operator="greaterThan">
      <formula>1</formula>
    </cfRule>
    <cfRule type="cellIs" dxfId="7102" priority="8144" operator="between">
      <formula>0.95</formula>
      <formula>1</formula>
    </cfRule>
    <cfRule type="cellIs" dxfId="7101" priority="8145" stopIfTrue="1" operator="between">
      <formula>0</formula>
      <formula>0.5</formula>
    </cfRule>
  </conditionalFormatting>
  <conditionalFormatting sqref="Z302">
    <cfRule type="cellIs" dxfId="7100" priority="8136" operator="between">
      <formula>0.76</formula>
      <formula>0.95</formula>
    </cfRule>
    <cfRule type="cellIs" dxfId="7099" priority="8137" operator="between">
      <formula>0.51</formula>
      <formula>0.75</formula>
    </cfRule>
    <cfRule type="cellIs" dxfId="7098" priority="8138" operator="greaterThan">
      <formula>1</formula>
    </cfRule>
    <cfRule type="cellIs" dxfId="7097" priority="8139" operator="between">
      <formula>0.95</formula>
      <formula>1</formula>
    </cfRule>
    <cfRule type="cellIs" dxfId="7096" priority="8140" stopIfTrue="1" operator="between">
      <formula>0</formula>
      <formula>0.5</formula>
    </cfRule>
  </conditionalFormatting>
  <conditionalFormatting sqref="Y303 AF303 R303 AH303:AI303">
    <cfRule type="cellIs" dxfId="7095" priority="8126" operator="between">
      <formula>0.76</formula>
      <formula>0.95</formula>
    </cfRule>
    <cfRule type="cellIs" dxfId="7094" priority="8127" operator="between">
      <formula>0.51</formula>
      <formula>0.75</formula>
    </cfRule>
    <cfRule type="cellIs" dxfId="7093" priority="8128" operator="greaterThan">
      <formula>1</formula>
    </cfRule>
    <cfRule type="cellIs" dxfId="7092" priority="8129" operator="between">
      <formula>0.95</formula>
      <formula>1</formula>
    </cfRule>
    <cfRule type="cellIs" dxfId="7091" priority="8130" stopIfTrue="1" operator="between">
      <formula>0</formula>
      <formula>0.5</formula>
    </cfRule>
  </conditionalFormatting>
  <conditionalFormatting sqref="T303">
    <cfRule type="cellIs" dxfId="7090" priority="8121" operator="between">
      <formula>0.3751</formula>
      <formula>0.475</formula>
    </cfRule>
    <cfRule type="cellIs" dxfId="7089" priority="8122" operator="between">
      <formula>0.2551</formula>
      <formula>0.375</formula>
    </cfRule>
    <cfRule type="cellIs" dxfId="7088" priority="8123" operator="greaterThan">
      <formula>0.505</formula>
    </cfRule>
    <cfRule type="cellIs" dxfId="7087" priority="8124" operator="between">
      <formula>0.48</formula>
      <formula>0.5</formula>
    </cfRule>
    <cfRule type="cellIs" dxfId="7086" priority="8125" stopIfTrue="1" operator="between">
      <formula>0</formula>
      <formula>0.255</formula>
    </cfRule>
  </conditionalFormatting>
  <conditionalFormatting sqref="AA303:AB303">
    <cfRule type="cellIs" dxfId="7085" priority="8116" operator="between">
      <formula>0.56251</formula>
      <formula>0.7125</formula>
    </cfRule>
    <cfRule type="cellIs" dxfId="7084" priority="8117" operator="between">
      <formula>0.3751</formula>
      <formula>0.5625</formula>
    </cfRule>
    <cfRule type="cellIs" dxfId="7083" priority="8118" operator="greaterThan">
      <formula>0.751</formula>
    </cfRule>
    <cfRule type="cellIs" dxfId="7082" priority="8119" operator="between">
      <formula>0.71251</formula>
      <formula>0.75</formula>
    </cfRule>
    <cfRule type="cellIs" dxfId="7081" priority="8120" stopIfTrue="1" operator="between">
      <formula>0</formula>
      <formula>0.375</formula>
    </cfRule>
  </conditionalFormatting>
  <conditionalFormatting sqref="U303">
    <cfRule type="cellIs" dxfId="7080" priority="8106" operator="between">
      <formula>0.376</formula>
      <formula>0.475</formula>
    </cfRule>
    <cfRule type="cellIs" dxfId="7079" priority="8107" operator="between">
      <formula>0.2551</formula>
      <formula>0.3751</formula>
    </cfRule>
    <cfRule type="cellIs" dxfId="7078" priority="8108" operator="greaterThan">
      <formula>0.505</formula>
    </cfRule>
    <cfRule type="cellIs" dxfId="7077" priority="8109" operator="between">
      <formula>0.48</formula>
      <formula>0.5</formula>
    </cfRule>
    <cfRule type="cellIs" dxfId="7076" priority="8110" stopIfTrue="1" operator="between">
      <formula>0</formula>
      <formula>0.255</formula>
    </cfRule>
  </conditionalFormatting>
  <conditionalFormatting sqref="S303">
    <cfRule type="cellIs" dxfId="7075" priority="8093" operator="between">
      <formula>0.76</formula>
      <formula>0.95</formula>
    </cfRule>
    <cfRule type="cellIs" dxfId="7074" priority="8094" operator="between">
      <formula>0.51</formula>
      <formula>0.75</formula>
    </cfRule>
    <cfRule type="cellIs" dxfId="7073" priority="8095" operator="greaterThan">
      <formula>1</formula>
    </cfRule>
    <cfRule type="cellIs" dxfId="7072" priority="8096" operator="between">
      <formula>0.95</formula>
      <formula>1</formula>
    </cfRule>
    <cfRule type="cellIs" dxfId="7071" priority="8097" stopIfTrue="1" operator="between">
      <formula>0</formula>
      <formula>0.5</formula>
    </cfRule>
  </conditionalFormatting>
  <conditionalFormatting sqref="V303">
    <cfRule type="cellIs" dxfId="7070" priority="8088" operator="between">
      <formula>0.376</formula>
      <formula>0.475</formula>
    </cfRule>
    <cfRule type="cellIs" dxfId="7069" priority="8089" operator="between">
      <formula>0.2551</formula>
      <formula>0.3751</formula>
    </cfRule>
    <cfRule type="cellIs" dxfId="7068" priority="8090" operator="greaterThan">
      <formula>0.505</formula>
    </cfRule>
    <cfRule type="cellIs" dxfId="7067" priority="8091" operator="between">
      <formula>0.48</formula>
      <formula>0.5</formula>
    </cfRule>
    <cfRule type="cellIs" dxfId="7066" priority="8092" stopIfTrue="1" operator="between">
      <formula>0</formula>
      <formula>0.255</formula>
    </cfRule>
  </conditionalFormatting>
  <conditionalFormatting sqref="AC303">
    <cfRule type="cellIs" dxfId="7065" priority="8083" operator="between">
      <formula>0.56251</formula>
      <formula>0.7125</formula>
    </cfRule>
    <cfRule type="cellIs" dxfId="7064" priority="8084" operator="between">
      <formula>0.3751</formula>
      <formula>0.5625</formula>
    </cfRule>
    <cfRule type="cellIs" dxfId="7063" priority="8085" operator="greaterThan">
      <formula>0.751</formula>
    </cfRule>
    <cfRule type="cellIs" dxfId="7062" priority="8086" operator="between">
      <formula>0.71251</formula>
      <formula>0.75</formula>
    </cfRule>
    <cfRule type="cellIs" dxfId="7061" priority="8087" stopIfTrue="1" operator="between">
      <formula>0</formula>
      <formula>0.375</formula>
    </cfRule>
  </conditionalFormatting>
  <conditionalFormatting sqref="AG303">
    <cfRule type="cellIs" dxfId="7060" priority="8078" operator="between">
      <formula>0.76</formula>
      <formula>0.95</formula>
    </cfRule>
    <cfRule type="cellIs" dxfId="7059" priority="8079" operator="between">
      <formula>0.51</formula>
      <formula>0.75</formula>
    </cfRule>
    <cfRule type="cellIs" dxfId="7058" priority="8080" operator="greaterThan">
      <formula>1</formula>
    </cfRule>
    <cfRule type="cellIs" dxfId="7057" priority="8081" operator="between">
      <formula>0.95</formula>
      <formula>1</formula>
    </cfRule>
    <cfRule type="cellIs" dxfId="7056" priority="8082" stopIfTrue="1" operator="between">
      <formula>0</formula>
      <formula>0.5</formula>
    </cfRule>
  </conditionalFormatting>
  <conditionalFormatting sqref="Z303">
    <cfRule type="cellIs" dxfId="7055" priority="8073" operator="between">
      <formula>0.76</formula>
      <formula>0.95</formula>
    </cfRule>
    <cfRule type="cellIs" dxfId="7054" priority="8074" operator="between">
      <formula>0.51</formula>
      <formula>0.75</formula>
    </cfRule>
    <cfRule type="cellIs" dxfId="7053" priority="8075" operator="greaterThan">
      <formula>1</formula>
    </cfRule>
    <cfRule type="cellIs" dxfId="7052" priority="8076" operator="between">
      <formula>0.95</formula>
      <formula>1</formula>
    </cfRule>
    <cfRule type="cellIs" dxfId="7051" priority="8077" stopIfTrue="1" operator="between">
      <formula>0</formula>
      <formula>0.5</formula>
    </cfRule>
  </conditionalFormatting>
  <conditionalFormatting sqref="Y301 AF301 R301 AH301:AI301">
    <cfRule type="cellIs" dxfId="7050" priority="8063" operator="between">
      <formula>0.76</formula>
      <formula>0.95</formula>
    </cfRule>
    <cfRule type="cellIs" dxfId="7049" priority="8064" operator="between">
      <formula>0.51</formula>
      <formula>0.75</formula>
    </cfRule>
    <cfRule type="cellIs" dxfId="7048" priority="8065" operator="greaterThan">
      <formula>1</formula>
    </cfRule>
    <cfRule type="cellIs" dxfId="7047" priority="8066" operator="between">
      <formula>0.95</formula>
      <formula>1</formula>
    </cfRule>
    <cfRule type="cellIs" dxfId="7046" priority="8067" stopIfTrue="1" operator="between">
      <formula>0</formula>
      <formula>0.5</formula>
    </cfRule>
  </conditionalFormatting>
  <conditionalFormatting sqref="T301">
    <cfRule type="cellIs" dxfId="7045" priority="8058" operator="between">
      <formula>0.3751</formula>
      <formula>0.475</formula>
    </cfRule>
    <cfRule type="cellIs" dxfId="7044" priority="8059" operator="between">
      <formula>0.2551</formula>
      <formula>0.375</formula>
    </cfRule>
    <cfRule type="cellIs" dxfId="7043" priority="8060" operator="greaterThan">
      <formula>0.505</formula>
    </cfRule>
    <cfRule type="cellIs" dxfId="7042" priority="8061" operator="between">
      <formula>0.48</formula>
      <formula>0.5</formula>
    </cfRule>
    <cfRule type="cellIs" dxfId="7041" priority="8062" stopIfTrue="1" operator="between">
      <formula>0</formula>
      <formula>0.255</formula>
    </cfRule>
  </conditionalFormatting>
  <conditionalFormatting sqref="AA301:AB301">
    <cfRule type="cellIs" dxfId="7040" priority="8053" operator="between">
      <formula>0.56251</formula>
      <formula>0.7125</formula>
    </cfRule>
    <cfRule type="cellIs" dxfId="7039" priority="8054" operator="between">
      <formula>0.3751</formula>
      <formula>0.5625</formula>
    </cfRule>
    <cfRule type="cellIs" dxfId="7038" priority="8055" operator="greaterThan">
      <formula>0.751</formula>
    </cfRule>
    <cfRule type="cellIs" dxfId="7037" priority="8056" operator="between">
      <formula>0.71251</formula>
      <formula>0.75</formula>
    </cfRule>
    <cfRule type="cellIs" dxfId="7036" priority="8057" stopIfTrue="1" operator="between">
      <formula>0</formula>
      <formula>0.375</formula>
    </cfRule>
  </conditionalFormatting>
  <conditionalFormatting sqref="U301">
    <cfRule type="cellIs" dxfId="7035" priority="8043" operator="between">
      <formula>0.376</formula>
      <formula>0.475</formula>
    </cfRule>
    <cfRule type="cellIs" dxfId="7034" priority="8044" operator="between">
      <formula>0.2551</formula>
      <formula>0.3751</formula>
    </cfRule>
    <cfRule type="cellIs" dxfId="7033" priority="8045" operator="greaterThan">
      <formula>0.505</formula>
    </cfRule>
    <cfRule type="cellIs" dxfId="7032" priority="8046" operator="between">
      <formula>0.48</formula>
      <formula>0.5</formula>
    </cfRule>
    <cfRule type="cellIs" dxfId="7031" priority="8047" stopIfTrue="1" operator="between">
      <formula>0</formula>
      <formula>0.255</formula>
    </cfRule>
  </conditionalFormatting>
  <conditionalFormatting sqref="S301">
    <cfRule type="cellIs" dxfId="7030" priority="8030" operator="between">
      <formula>0.76</formula>
      <formula>0.95</formula>
    </cfRule>
    <cfRule type="cellIs" dxfId="7029" priority="8031" operator="between">
      <formula>0.51</formula>
      <formula>0.75</formula>
    </cfRule>
    <cfRule type="cellIs" dxfId="7028" priority="8032" operator="greaterThan">
      <formula>1</formula>
    </cfRule>
    <cfRule type="cellIs" dxfId="7027" priority="8033" operator="between">
      <formula>0.95</formula>
      <formula>1</formula>
    </cfRule>
    <cfRule type="cellIs" dxfId="7026" priority="8034" stopIfTrue="1" operator="between">
      <formula>0</formula>
      <formula>0.5</formula>
    </cfRule>
  </conditionalFormatting>
  <conditionalFormatting sqref="V301">
    <cfRule type="cellIs" dxfId="7025" priority="8025" operator="between">
      <formula>0.376</formula>
      <formula>0.475</formula>
    </cfRule>
    <cfRule type="cellIs" dxfId="7024" priority="8026" operator="between">
      <formula>0.2551</formula>
      <formula>0.3751</formula>
    </cfRule>
    <cfRule type="cellIs" dxfId="7023" priority="8027" operator="greaterThan">
      <formula>0.505</formula>
    </cfRule>
    <cfRule type="cellIs" dxfId="7022" priority="8028" operator="between">
      <formula>0.48</formula>
      <formula>0.5</formula>
    </cfRule>
    <cfRule type="cellIs" dxfId="7021" priority="8029" stopIfTrue="1" operator="between">
      <formula>0</formula>
      <formula>0.255</formula>
    </cfRule>
  </conditionalFormatting>
  <conditionalFormatting sqref="AC301">
    <cfRule type="cellIs" dxfId="7020" priority="8020" operator="between">
      <formula>0.56251</formula>
      <formula>0.7125</formula>
    </cfRule>
    <cfRule type="cellIs" dxfId="7019" priority="8021" operator="between">
      <formula>0.3751</formula>
      <formula>0.5625</formula>
    </cfRule>
    <cfRule type="cellIs" dxfId="7018" priority="8022" operator="greaterThan">
      <formula>0.751</formula>
    </cfRule>
    <cfRule type="cellIs" dxfId="7017" priority="8023" operator="between">
      <formula>0.71251</formula>
      <formula>0.75</formula>
    </cfRule>
    <cfRule type="cellIs" dxfId="7016" priority="8024" stopIfTrue="1" operator="between">
      <formula>0</formula>
      <formula>0.375</formula>
    </cfRule>
  </conditionalFormatting>
  <conditionalFormatting sqref="AG301">
    <cfRule type="cellIs" dxfId="7015" priority="8015" operator="between">
      <formula>0.76</formula>
      <formula>0.95</formula>
    </cfRule>
    <cfRule type="cellIs" dxfId="7014" priority="8016" operator="between">
      <formula>0.51</formula>
      <formula>0.75</formula>
    </cfRule>
    <cfRule type="cellIs" dxfId="7013" priority="8017" operator="greaterThan">
      <formula>1</formula>
    </cfRule>
    <cfRule type="cellIs" dxfId="7012" priority="8018" operator="between">
      <formula>0.95</formula>
      <formula>1</formula>
    </cfRule>
    <cfRule type="cellIs" dxfId="7011" priority="8019" stopIfTrue="1" operator="between">
      <formula>0</formula>
      <formula>0.5</formula>
    </cfRule>
  </conditionalFormatting>
  <conditionalFormatting sqref="Z301">
    <cfRule type="cellIs" dxfId="7010" priority="8010" operator="between">
      <formula>0.76</formula>
      <formula>0.95</formula>
    </cfRule>
    <cfRule type="cellIs" dxfId="7009" priority="8011" operator="between">
      <formula>0.51</formula>
      <formula>0.75</formula>
    </cfRule>
    <cfRule type="cellIs" dxfId="7008" priority="8012" operator="greaterThan">
      <formula>1</formula>
    </cfRule>
    <cfRule type="cellIs" dxfId="7007" priority="8013" operator="between">
      <formula>0.95</formula>
      <formula>1</formula>
    </cfRule>
    <cfRule type="cellIs" dxfId="7006" priority="8014" stopIfTrue="1" operator="between">
      <formula>0</formula>
      <formula>0.5</formula>
    </cfRule>
  </conditionalFormatting>
  <conditionalFormatting sqref="AA130">
    <cfRule type="cellIs" dxfId="7005" priority="7965" operator="between">
      <formula>0.76</formula>
      <formula>0.95</formula>
    </cfRule>
    <cfRule type="cellIs" dxfId="7004" priority="7966" operator="between">
      <formula>0.51</formula>
      <formula>0.75</formula>
    </cfRule>
    <cfRule type="cellIs" dxfId="7003" priority="7967" operator="greaterThan">
      <formula>1</formula>
    </cfRule>
    <cfRule type="cellIs" dxfId="7002" priority="7968" operator="between">
      <formula>0.95</formula>
      <formula>1</formula>
    </cfRule>
    <cfRule type="cellIs" dxfId="7001" priority="7969" stopIfTrue="1" operator="between">
      <formula>0</formula>
      <formula>0.5</formula>
    </cfRule>
  </conditionalFormatting>
  <conditionalFormatting sqref="AH130">
    <cfRule type="cellIs" dxfId="7000" priority="7960" operator="between">
      <formula>0.76</formula>
      <formula>0.95</formula>
    </cfRule>
    <cfRule type="cellIs" dxfId="6999" priority="7961" operator="between">
      <formula>0.51</formula>
      <formula>0.75</formula>
    </cfRule>
    <cfRule type="cellIs" dxfId="6998" priority="7962" operator="greaterThan">
      <formula>1</formula>
    </cfRule>
    <cfRule type="cellIs" dxfId="6997" priority="7963" operator="between">
      <formula>0.95</formula>
      <formula>1</formula>
    </cfRule>
    <cfRule type="cellIs" dxfId="6996" priority="7964" stopIfTrue="1" operator="between">
      <formula>0</formula>
      <formula>0.5</formula>
    </cfRule>
  </conditionalFormatting>
  <conditionalFormatting sqref="M203">
    <cfRule type="cellIs" dxfId="6995" priority="6338" operator="between">
      <formula>0.1876</formula>
      <formula>0.2375</formula>
    </cfRule>
    <cfRule type="cellIs" dxfId="6994" priority="6339" operator="between">
      <formula>0.1251</formula>
      <formula>0.1875</formula>
    </cfRule>
    <cfRule type="cellIs" dxfId="6993" priority="6340" operator="greaterThan">
      <formula>0.25</formula>
    </cfRule>
    <cfRule type="cellIs" dxfId="6992" priority="6341" operator="between">
      <formula>0.2376</formula>
      <formula>0.25</formula>
    </cfRule>
    <cfRule type="cellIs" dxfId="6991" priority="6342" stopIfTrue="1" operator="between">
      <formula>0</formula>
      <formula>0.125</formula>
    </cfRule>
  </conditionalFormatting>
  <conditionalFormatting sqref="N203">
    <cfRule type="cellIs" dxfId="6990" priority="6333" operator="between">
      <formula>0.191</formula>
      <formula>0.24</formula>
    </cfRule>
    <cfRule type="cellIs" dxfId="6989" priority="6334" operator="between">
      <formula>0.1251</formula>
      <formula>0.19</formula>
    </cfRule>
    <cfRule type="cellIs" dxfId="6988" priority="6335" operator="greaterThan">
      <formula>0.2601</formula>
    </cfRule>
    <cfRule type="cellIs" dxfId="6987" priority="6336" operator="between">
      <formula>0.2401</formula>
      <formula>0.26</formula>
    </cfRule>
    <cfRule type="cellIs" dxfId="6986" priority="6337" stopIfTrue="1" operator="between">
      <formula>0</formula>
      <formula>0.125</formula>
    </cfRule>
  </conditionalFormatting>
  <conditionalFormatting sqref="S130">
    <cfRule type="cellIs" dxfId="6985" priority="6328" operator="between">
      <formula>0.76</formula>
      <formula>0.95</formula>
    </cfRule>
    <cfRule type="cellIs" dxfId="6984" priority="6329" operator="between">
      <formula>0.51</formula>
      <formula>0.75</formula>
    </cfRule>
    <cfRule type="cellIs" dxfId="6983" priority="6330" operator="greaterThan">
      <formula>1</formula>
    </cfRule>
    <cfRule type="cellIs" dxfId="6982" priority="6331" operator="between">
      <formula>0.95</formula>
      <formula>1</formula>
    </cfRule>
    <cfRule type="cellIs" dxfId="6981" priority="6332" stopIfTrue="1" operator="between">
      <formula>0</formula>
      <formula>0.5</formula>
    </cfRule>
  </conditionalFormatting>
  <conditionalFormatting sqref="Z130">
    <cfRule type="cellIs" dxfId="6980" priority="6318" operator="between">
      <formula>0.76</formula>
      <formula>0.95</formula>
    </cfRule>
    <cfRule type="cellIs" dxfId="6979" priority="6319" operator="between">
      <formula>0.51</formula>
      <formula>0.75</formula>
    </cfRule>
    <cfRule type="cellIs" dxfId="6978" priority="6320" operator="greaterThan">
      <formula>1</formula>
    </cfRule>
    <cfRule type="cellIs" dxfId="6977" priority="6321" operator="between">
      <formula>0.95</formula>
      <formula>1</formula>
    </cfRule>
    <cfRule type="cellIs" dxfId="6976" priority="6322" stopIfTrue="1" operator="between">
      <formula>0</formula>
      <formula>0.5</formula>
    </cfRule>
  </conditionalFormatting>
  <conditionalFormatting sqref="AB130">
    <cfRule type="cellIs" dxfId="6975" priority="6313" operator="between">
      <formula>0.191</formula>
      <formula>0.24</formula>
    </cfRule>
    <cfRule type="cellIs" dxfId="6974" priority="6314" operator="between">
      <formula>0.1251</formula>
      <formula>0.19</formula>
    </cfRule>
    <cfRule type="cellIs" dxfId="6973" priority="6315" operator="greaterThan">
      <formula>0.2601</formula>
    </cfRule>
    <cfRule type="cellIs" dxfId="6972" priority="6316" operator="between">
      <formula>0.2401</formula>
      <formula>0.26</formula>
    </cfRule>
    <cfRule type="cellIs" dxfId="6971" priority="6317" stopIfTrue="1" operator="between">
      <formula>0</formula>
      <formula>0.125</formula>
    </cfRule>
  </conditionalFormatting>
  <conditionalFormatting sqref="AG130">
    <cfRule type="cellIs" dxfId="6970" priority="6308" operator="between">
      <formula>0.76</formula>
      <formula>0.95</formula>
    </cfRule>
    <cfRule type="cellIs" dxfId="6969" priority="6309" operator="between">
      <formula>0.51</formula>
      <formula>0.75</formula>
    </cfRule>
    <cfRule type="cellIs" dxfId="6968" priority="6310" operator="greaterThan">
      <formula>1</formula>
    </cfRule>
    <cfRule type="cellIs" dxfId="6967" priority="6311" operator="between">
      <formula>0.95</formula>
      <formula>1</formula>
    </cfRule>
    <cfRule type="cellIs" dxfId="6966" priority="6312" stopIfTrue="1" operator="between">
      <formula>0</formula>
      <formula>0.5</formula>
    </cfRule>
  </conditionalFormatting>
  <conditionalFormatting sqref="S203">
    <cfRule type="cellIs" dxfId="6965" priority="6303" operator="between">
      <formula>0.76</formula>
      <formula>0.95</formula>
    </cfRule>
    <cfRule type="cellIs" dxfId="6964" priority="6304" operator="between">
      <formula>0.51</formula>
      <formula>0.75</formula>
    </cfRule>
    <cfRule type="cellIs" dxfId="6963" priority="6305" operator="greaterThan">
      <formula>1</formula>
    </cfRule>
    <cfRule type="cellIs" dxfId="6962" priority="6306" operator="between">
      <formula>0.95</formula>
      <formula>1</formula>
    </cfRule>
    <cfRule type="cellIs" dxfId="6961" priority="6307" stopIfTrue="1" operator="between">
      <formula>0</formula>
      <formula>0.5</formula>
    </cfRule>
  </conditionalFormatting>
  <conditionalFormatting sqref="Z203">
    <cfRule type="cellIs" dxfId="6960" priority="6288" operator="between">
      <formula>0.76</formula>
      <formula>0.95</formula>
    </cfRule>
    <cfRule type="cellIs" dxfId="6959" priority="6289" operator="between">
      <formula>0.51</formula>
      <formula>0.75</formula>
    </cfRule>
    <cfRule type="cellIs" dxfId="6958" priority="6290" operator="greaterThan">
      <formula>1</formula>
    </cfRule>
    <cfRule type="cellIs" dxfId="6957" priority="6291" operator="between">
      <formula>0.95</formula>
      <formula>1</formula>
    </cfRule>
    <cfRule type="cellIs" dxfId="6956" priority="6292" stopIfTrue="1" operator="between">
      <formula>0</formula>
      <formula>0.5</formula>
    </cfRule>
  </conditionalFormatting>
  <conditionalFormatting sqref="AA203">
    <cfRule type="cellIs" dxfId="6955" priority="6283" operator="between">
      <formula>0.76</formula>
      <formula>0.95</formula>
    </cfRule>
    <cfRule type="cellIs" dxfId="6954" priority="6284" operator="between">
      <formula>0.51</formula>
      <formula>0.75</formula>
    </cfRule>
    <cfRule type="cellIs" dxfId="6953" priority="6285" operator="greaterThan">
      <formula>1</formula>
    </cfRule>
    <cfRule type="cellIs" dxfId="6952" priority="6286" operator="between">
      <formula>0.95</formula>
      <formula>1</formula>
    </cfRule>
    <cfRule type="cellIs" dxfId="6951" priority="6287" stopIfTrue="1" operator="between">
      <formula>0</formula>
      <formula>0.5</formula>
    </cfRule>
  </conditionalFormatting>
  <conditionalFormatting sqref="AB203">
    <cfRule type="cellIs" dxfId="6950" priority="6278" operator="between">
      <formula>0.191</formula>
      <formula>0.24</formula>
    </cfRule>
    <cfRule type="cellIs" dxfId="6949" priority="6279" operator="between">
      <formula>0.1251</formula>
      <formula>0.19</formula>
    </cfRule>
    <cfRule type="cellIs" dxfId="6948" priority="6280" operator="greaterThan">
      <formula>0.2601</formula>
    </cfRule>
    <cfRule type="cellIs" dxfId="6947" priority="6281" operator="between">
      <formula>0.2401</formula>
      <formula>0.26</formula>
    </cfRule>
    <cfRule type="cellIs" dxfId="6946" priority="6282" stopIfTrue="1" operator="between">
      <formula>0</formula>
      <formula>0.125</formula>
    </cfRule>
  </conditionalFormatting>
  <conditionalFormatting sqref="AG203">
    <cfRule type="cellIs" dxfId="6945" priority="6273" operator="between">
      <formula>0.76</formula>
      <formula>0.95</formula>
    </cfRule>
    <cfRule type="cellIs" dxfId="6944" priority="6274" operator="between">
      <formula>0.51</formula>
      <formula>0.75</formula>
    </cfRule>
    <cfRule type="cellIs" dxfId="6943" priority="6275" operator="greaterThan">
      <formula>1</formula>
    </cfRule>
    <cfRule type="cellIs" dxfId="6942" priority="6276" operator="between">
      <formula>0.95</formula>
      <formula>1</formula>
    </cfRule>
    <cfRule type="cellIs" dxfId="6941" priority="6277" stopIfTrue="1" operator="between">
      <formula>0</formula>
      <formula>0.5</formula>
    </cfRule>
  </conditionalFormatting>
  <conditionalFormatting sqref="AH203">
    <cfRule type="cellIs" dxfId="6940" priority="6268" operator="between">
      <formula>0.76</formula>
      <formula>0.95</formula>
    </cfRule>
    <cfRule type="cellIs" dxfId="6939" priority="6269" operator="between">
      <formula>0.51</formula>
      <formula>0.75</formula>
    </cfRule>
    <cfRule type="cellIs" dxfId="6938" priority="6270" operator="greaterThan">
      <formula>1</formula>
    </cfRule>
    <cfRule type="cellIs" dxfId="6937" priority="6271" operator="between">
      <formula>0.95</formula>
      <formula>1</formula>
    </cfRule>
    <cfRule type="cellIs" dxfId="6936" priority="6272" stopIfTrue="1" operator="between">
      <formula>0</formula>
      <formula>0.5</formula>
    </cfRule>
  </conditionalFormatting>
  <conditionalFormatting sqref="M304">
    <cfRule type="cellIs" dxfId="6935" priority="6178" operator="between">
      <formula>0.1876</formula>
      <formula>0.2375</formula>
    </cfRule>
    <cfRule type="cellIs" dxfId="6934" priority="6179" operator="between">
      <formula>0.1251</formula>
      <formula>0.1875</formula>
    </cfRule>
    <cfRule type="cellIs" dxfId="6933" priority="6180" operator="greaterThan">
      <formula>0.25</formula>
    </cfRule>
    <cfRule type="cellIs" dxfId="6932" priority="6181" operator="between">
      <formula>0.2376</formula>
      <formula>0.25</formula>
    </cfRule>
    <cfRule type="cellIs" dxfId="6931" priority="6182" stopIfTrue="1" operator="between">
      <formula>0</formula>
      <formula>0.125</formula>
    </cfRule>
  </conditionalFormatting>
  <conditionalFormatting sqref="AH361:AH363">
    <cfRule type="cellIs" dxfId="6930" priority="5823" operator="between">
      <formula>0.76</formula>
      <formula>0.95</formula>
    </cfRule>
    <cfRule type="cellIs" dxfId="6929" priority="5824" operator="between">
      <formula>0.51</formula>
      <formula>0.75</formula>
    </cfRule>
    <cfRule type="cellIs" dxfId="6928" priority="5825" operator="greaterThan">
      <formula>1</formula>
    </cfRule>
    <cfRule type="cellIs" dxfId="6927" priority="5826" operator="between">
      <formula>0.95</formula>
      <formula>1</formula>
    </cfRule>
    <cfRule type="cellIs" dxfId="6926" priority="5827" stopIfTrue="1" operator="between">
      <formula>0</formula>
      <formula>0.5</formula>
    </cfRule>
  </conditionalFormatting>
  <conditionalFormatting sqref="R304">
    <cfRule type="cellIs" dxfId="6925" priority="6158" operator="between">
      <formula>0.76</formula>
      <formula>0.95</formula>
    </cfRule>
    <cfRule type="cellIs" dxfId="6924" priority="6159" operator="between">
      <formula>0.51</formula>
      <formula>0.75</formula>
    </cfRule>
    <cfRule type="cellIs" dxfId="6923" priority="6160" operator="greaterThan">
      <formula>1</formula>
    </cfRule>
    <cfRule type="cellIs" dxfId="6922" priority="6161" operator="between">
      <formula>0.95</formula>
      <formula>1</formula>
    </cfRule>
    <cfRule type="cellIs" dxfId="6921" priority="6162" stopIfTrue="1" operator="between">
      <formula>0</formula>
      <formula>0.5</formula>
    </cfRule>
  </conditionalFormatting>
  <conditionalFormatting sqref="S304">
    <cfRule type="cellIs" dxfId="6920" priority="6153" operator="between">
      <formula>0.76</formula>
      <formula>0.95</formula>
    </cfRule>
    <cfRule type="cellIs" dxfId="6919" priority="6154" operator="between">
      <formula>0.51</formula>
      <formula>0.75</formula>
    </cfRule>
    <cfRule type="cellIs" dxfId="6918" priority="6155" operator="greaterThan">
      <formula>1</formula>
    </cfRule>
    <cfRule type="cellIs" dxfId="6917" priority="6156" operator="between">
      <formula>0.95</formula>
      <formula>1</formula>
    </cfRule>
    <cfRule type="cellIs" dxfId="6916" priority="6157" stopIfTrue="1" operator="between">
      <formula>0</formula>
      <formula>0.5</formula>
    </cfRule>
  </conditionalFormatting>
  <conditionalFormatting sqref="Y304">
    <cfRule type="cellIs" dxfId="6915" priority="6138" operator="between">
      <formula>0.76</formula>
      <formula>0.95</formula>
    </cfRule>
    <cfRule type="cellIs" dxfId="6914" priority="6139" operator="between">
      <formula>0.51</formula>
      <formula>0.75</formula>
    </cfRule>
    <cfRule type="cellIs" dxfId="6913" priority="6140" operator="greaterThan">
      <formula>1</formula>
    </cfRule>
    <cfRule type="cellIs" dxfId="6912" priority="6141" operator="between">
      <formula>0.95</formula>
      <formula>1</formula>
    </cfRule>
    <cfRule type="cellIs" dxfId="6911" priority="6142" stopIfTrue="1" operator="between">
      <formula>0</formula>
      <formula>0.5</formula>
    </cfRule>
  </conditionalFormatting>
  <conditionalFormatting sqref="Z304">
    <cfRule type="cellIs" dxfId="6910" priority="6133" operator="between">
      <formula>0.76</formula>
      <formula>0.95</formula>
    </cfRule>
    <cfRule type="cellIs" dxfId="6909" priority="6134" operator="between">
      <formula>0.51</formula>
      <formula>0.75</formula>
    </cfRule>
    <cfRule type="cellIs" dxfId="6908" priority="6135" operator="greaterThan">
      <formula>1</formula>
    </cfRule>
    <cfRule type="cellIs" dxfId="6907" priority="6136" operator="between">
      <formula>0.95</formula>
      <formula>1</formula>
    </cfRule>
    <cfRule type="cellIs" dxfId="6906" priority="6137" stopIfTrue="1" operator="between">
      <formula>0</formula>
      <formula>0.5</formula>
    </cfRule>
  </conditionalFormatting>
  <conditionalFormatting sqref="AA304">
    <cfRule type="cellIs" dxfId="6905" priority="6128" operator="between">
      <formula>0.76</formula>
      <formula>0.95</formula>
    </cfRule>
    <cfRule type="cellIs" dxfId="6904" priority="6129" operator="between">
      <formula>0.51</formula>
      <formula>0.75</formula>
    </cfRule>
    <cfRule type="cellIs" dxfId="6903" priority="6130" operator="greaterThan">
      <formula>1</formula>
    </cfRule>
    <cfRule type="cellIs" dxfId="6902" priority="6131" operator="between">
      <formula>0.95</formula>
      <formula>1</formula>
    </cfRule>
    <cfRule type="cellIs" dxfId="6901" priority="6132" stopIfTrue="1" operator="between">
      <formula>0</formula>
      <formula>0.5</formula>
    </cfRule>
  </conditionalFormatting>
  <conditionalFormatting sqref="AB304">
    <cfRule type="cellIs" dxfId="6900" priority="6123" operator="between">
      <formula>0.191</formula>
      <formula>0.24</formula>
    </cfRule>
    <cfRule type="cellIs" dxfId="6899" priority="6124" operator="between">
      <formula>0.1251</formula>
      <formula>0.19</formula>
    </cfRule>
    <cfRule type="cellIs" dxfId="6898" priority="6125" operator="greaterThan">
      <formula>0.2601</formula>
    </cfRule>
    <cfRule type="cellIs" dxfId="6897" priority="6126" operator="between">
      <formula>0.2401</formula>
      <formula>0.26</formula>
    </cfRule>
    <cfRule type="cellIs" dxfId="6896" priority="6127" stopIfTrue="1" operator="between">
      <formula>0</formula>
      <formula>0.125</formula>
    </cfRule>
  </conditionalFormatting>
  <conditionalFormatting sqref="AF304">
    <cfRule type="cellIs" dxfId="6895" priority="6118" operator="between">
      <formula>0.76</formula>
      <formula>0.95</formula>
    </cfRule>
    <cfRule type="cellIs" dxfId="6894" priority="6119" operator="between">
      <formula>0.51</formula>
      <formula>0.75</formula>
    </cfRule>
    <cfRule type="cellIs" dxfId="6893" priority="6120" operator="greaterThan">
      <formula>1</formula>
    </cfRule>
    <cfRule type="cellIs" dxfId="6892" priority="6121" operator="between">
      <formula>0.95</formula>
      <formula>1</formula>
    </cfRule>
    <cfRule type="cellIs" dxfId="6891" priority="6122" stopIfTrue="1" operator="between">
      <formula>0</formula>
      <formula>0.5</formula>
    </cfRule>
  </conditionalFormatting>
  <conditionalFormatting sqref="AG304">
    <cfRule type="cellIs" dxfId="6890" priority="6113" operator="between">
      <formula>0.76</formula>
      <formula>0.95</formula>
    </cfRule>
    <cfRule type="cellIs" dxfId="6889" priority="6114" operator="between">
      <formula>0.51</formula>
      <formula>0.75</formula>
    </cfRule>
    <cfRule type="cellIs" dxfId="6888" priority="6115" operator="greaterThan">
      <formula>1</formula>
    </cfRule>
    <cfRule type="cellIs" dxfId="6887" priority="6116" operator="between">
      <formula>0.95</formula>
      <formula>1</formula>
    </cfRule>
    <cfRule type="cellIs" dxfId="6886" priority="6117" stopIfTrue="1" operator="between">
      <formula>0</formula>
      <formula>0.5</formula>
    </cfRule>
  </conditionalFormatting>
  <conditionalFormatting sqref="AH304">
    <cfRule type="cellIs" dxfId="6885" priority="6108" operator="between">
      <formula>0.76</formula>
      <formula>0.95</formula>
    </cfRule>
    <cfRule type="cellIs" dxfId="6884" priority="6109" operator="between">
      <formula>0.51</formula>
      <formula>0.75</formula>
    </cfRule>
    <cfRule type="cellIs" dxfId="6883" priority="6110" operator="greaterThan">
      <formula>1</formula>
    </cfRule>
    <cfRule type="cellIs" dxfId="6882" priority="6111" operator="between">
      <formula>0.95</formula>
      <formula>1</formula>
    </cfRule>
    <cfRule type="cellIs" dxfId="6881" priority="6112" stopIfTrue="1" operator="between">
      <formula>0</formula>
      <formula>0.5</formula>
    </cfRule>
  </conditionalFormatting>
  <conditionalFormatting sqref="M360">
    <cfRule type="cellIs" dxfId="6880" priority="6098" operator="between">
      <formula>0.1876</formula>
      <formula>0.2375</formula>
    </cfRule>
    <cfRule type="cellIs" dxfId="6879" priority="6099" operator="between">
      <formula>0.1251</formula>
      <formula>0.1875</formula>
    </cfRule>
    <cfRule type="cellIs" dxfId="6878" priority="6100" operator="greaterThan">
      <formula>0.25</formula>
    </cfRule>
    <cfRule type="cellIs" dxfId="6877" priority="6101" operator="between">
      <formula>0.2376</formula>
      <formula>0.25</formula>
    </cfRule>
    <cfRule type="cellIs" dxfId="6876" priority="6102" stopIfTrue="1" operator="between">
      <formula>0</formula>
      <formula>0.25</formula>
    </cfRule>
  </conditionalFormatting>
  <conditionalFormatting sqref="R360">
    <cfRule type="cellIs" dxfId="6875" priority="6088" operator="between">
      <formula>0.76</formula>
      <formula>0.95</formula>
    </cfRule>
    <cfRule type="cellIs" dxfId="6874" priority="6089" operator="between">
      <formula>0.51</formula>
      <formula>0.75</formula>
    </cfRule>
    <cfRule type="cellIs" dxfId="6873" priority="6090" operator="greaterThan">
      <formula>1</formula>
    </cfRule>
    <cfRule type="cellIs" dxfId="6872" priority="6091" operator="between">
      <formula>0.95</formula>
      <formula>1</formula>
    </cfRule>
    <cfRule type="cellIs" dxfId="6871" priority="6092" stopIfTrue="1" operator="between">
      <formula>0</formula>
      <formula>0.5</formula>
    </cfRule>
  </conditionalFormatting>
  <conditionalFormatting sqref="S360">
    <cfRule type="cellIs" dxfId="6870" priority="6083" operator="between">
      <formula>0.76</formula>
      <formula>0.95</formula>
    </cfRule>
    <cfRule type="cellIs" dxfId="6869" priority="6084" operator="between">
      <formula>0.51</formula>
      <formula>0.75</formula>
    </cfRule>
    <cfRule type="cellIs" dxfId="6868" priority="6085" operator="greaterThan">
      <formula>1</formula>
    </cfRule>
    <cfRule type="cellIs" dxfId="6867" priority="6086" operator="between">
      <formula>0.95</formula>
      <formula>1</formula>
    </cfRule>
    <cfRule type="cellIs" dxfId="6866" priority="6087" stopIfTrue="1" operator="between">
      <formula>0</formula>
      <formula>0.5</formula>
    </cfRule>
  </conditionalFormatting>
  <conditionalFormatting sqref="Y360">
    <cfRule type="cellIs" dxfId="6865" priority="6068" operator="between">
      <formula>0.76</formula>
      <formula>0.95</formula>
    </cfRule>
    <cfRule type="cellIs" dxfId="6864" priority="6069" operator="between">
      <formula>0.51</formula>
      <formula>0.75</formula>
    </cfRule>
    <cfRule type="cellIs" dxfId="6863" priority="6070" operator="greaterThan">
      <formula>1</formula>
    </cfRule>
    <cfRule type="cellIs" dxfId="6862" priority="6071" operator="between">
      <formula>0.95</formula>
      <formula>1</formula>
    </cfRule>
    <cfRule type="cellIs" dxfId="6861" priority="6072" stopIfTrue="1" operator="between">
      <formula>0</formula>
      <formula>0.5</formula>
    </cfRule>
  </conditionalFormatting>
  <conditionalFormatting sqref="Z360">
    <cfRule type="cellIs" dxfId="6860" priority="6063" operator="between">
      <formula>0.76</formula>
      <formula>0.95</formula>
    </cfRule>
    <cfRule type="cellIs" dxfId="6859" priority="6064" operator="between">
      <formula>0.51</formula>
      <formula>0.75</formula>
    </cfRule>
    <cfRule type="cellIs" dxfId="6858" priority="6065" operator="greaterThan">
      <formula>1</formula>
    </cfRule>
    <cfRule type="cellIs" dxfId="6857" priority="6066" operator="between">
      <formula>0.95</formula>
      <formula>1</formula>
    </cfRule>
    <cfRule type="cellIs" dxfId="6856" priority="6067" stopIfTrue="1" operator="between">
      <formula>0</formula>
      <formula>0.5</formula>
    </cfRule>
  </conditionalFormatting>
  <conditionalFormatting sqref="AA360">
    <cfRule type="cellIs" dxfId="6855" priority="6058" operator="between">
      <formula>0.76</formula>
      <formula>0.95</formula>
    </cfRule>
    <cfRule type="cellIs" dxfId="6854" priority="6059" operator="between">
      <formula>0.51</formula>
      <formula>0.75</formula>
    </cfRule>
    <cfRule type="cellIs" dxfId="6853" priority="6060" operator="greaterThan">
      <formula>1</formula>
    </cfRule>
    <cfRule type="cellIs" dxfId="6852" priority="6061" operator="between">
      <formula>0.95</formula>
      <formula>1</formula>
    </cfRule>
    <cfRule type="cellIs" dxfId="6851" priority="6062" stopIfTrue="1" operator="between">
      <formula>0</formula>
      <formula>0.5</formula>
    </cfRule>
  </conditionalFormatting>
  <conditionalFormatting sqref="AB360">
    <cfRule type="cellIs" dxfId="6850" priority="6053" operator="between">
      <formula>0.191</formula>
      <formula>0.24</formula>
    </cfRule>
    <cfRule type="cellIs" dxfId="6849" priority="6054" operator="between">
      <formula>0.1251</formula>
      <formula>0.19</formula>
    </cfRule>
    <cfRule type="cellIs" dxfId="6848" priority="6055" operator="greaterThan">
      <formula>0.2601</formula>
    </cfRule>
    <cfRule type="cellIs" dxfId="6847" priority="6056" operator="between">
      <formula>0.2401</formula>
      <formula>0.26</formula>
    </cfRule>
    <cfRule type="cellIs" dxfId="6846" priority="6057" stopIfTrue="1" operator="between">
      <formula>0</formula>
      <formula>0.125</formula>
    </cfRule>
  </conditionalFormatting>
  <conditionalFormatting sqref="AF360">
    <cfRule type="cellIs" dxfId="6845" priority="6048" operator="between">
      <formula>0.76</formula>
      <formula>0.95</formula>
    </cfRule>
    <cfRule type="cellIs" dxfId="6844" priority="6049" operator="between">
      <formula>0.51</formula>
      <formula>0.75</formula>
    </cfRule>
    <cfRule type="cellIs" dxfId="6843" priority="6050" operator="greaterThan">
      <formula>1</formula>
    </cfRule>
    <cfRule type="cellIs" dxfId="6842" priority="6051" operator="between">
      <formula>0.95</formula>
      <formula>1</formula>
    </cfRule>
    <cfRule type="cellIs" dxfId="6841" priority="6052" stopIfTrue="1" operator="between">
      <formula>0</formula>
      <formula>0.5</formula>
    </cfRule>
  </conditionalFormatting>
  <conditionalFormatting sqref="AG360">
    <cfRule type="cellIs" dxfId="6840" priority="6043" operator="between">
      <formula>0.76</formula>
      <formula>0.95</formula>
    </cfRule>
    <cfRule type="cellIs" dxfId="6839" priority="6044" operator="between">
      <formula>0.51</formula>
      <formula>0.75</formula>
    </cfRule>
    <cfRule type="cellIs" dxfId="6838" priority="6045" operator="greaterThan">
      <formula>1</formula>
    </cfRule>
    <cfRule type="cellIs" dxfId="6837" priority="6046" operator="between">
      <formula>0.95</formula>
      <formula>1</formula>
    </cfRule>
    <cfRule type="cellIs" dxfId="6836" priority="6047" stopIfTrue="1" operator="between">
      <formula>0</formula>
      <formula>0.5</formula>
    </cfRule>
  </conditionalFormatting>
  <conditionalFormatting sqref="AH360">
    <cfRule type="cellIs" dxfId="6835" priority="6038" operator="between">
      <formula>0.76</formula>
      <formula>0.95</formula>
    </cfRule>
    <cfRule type="cellIs" dxfId="6834" priority="6039" operator="between">
      <formula>0.51</formula>
      <formula>0.75</formula>
    </cfRule>
    <cfRule type="cellIs" dxfId="6833" priority="6040" operator="greaterThan">
      <formula>1</formula>
    </cfRule>
    <cfRule type="cellIs" dxfId="6832" priority="6041" operator="between">
      <formula>0.95</formula>
      <formula>1</formula>
    </cfRule>
    <cfRule type="cellIs" dxfId="6831" priority="6042" stopIfTrue="1" operator="between">
      <formula>0</formula>
      <formula>0.5</formula>
    </cfRule>
  </conditionalFormatting>
  <conditionalFormatting sqref="AA361:AA363">
    <cfRule type="cellIs" dxfId="6830" priority="5868" operator="between">
      <formula>0.76</formula>
      <formula>0.95</formula>
    </cfRule>
    <cfRule type="cellIs" dxfId="6829" priority="5869" operator="between">
      <formula>0.51</formula>
      <formula>0.75</formula>
    </cfRule>
    <cfRule type="cellIs" dxfId="6828" priority="5870" operator="greaterThan">
      <formula>1</formula>
    </cfRule>
    <cfRule type="cellIs" dxfId="6827" priority="5871" operator="between">
      <formula>0.95</formula>
      <formula>1</formula>
    </cfRule>
    <cfRule type="cellIs" dxfId="6826" priority="5872" stopIfTrue="1" operator="between">
      <formula>0</formula>
      <formula>0.5</formula>
    </cfRule>
  </conditionalFormatting>
  <conditionalFormatting sqref="AC130">
    <cfRule type="cellIs" dxfId="6825" priority="5813" operator="between">
      <formula>0.76</formula>
      <formula>0.95</formula>
    </cfRule>
    <cfRule type="cellIs" dxfId="6824" priority="5814" operator="between">
      <formula>0.51</formula>
      <formula>0.75</formula>
    </cfRule>
    <cfRule type="cellIs" dxfId="6823" priority="5815" operator="greaterThan">
      <formula>1</formula>
    </cfRule>
    <cfRule type="cellIs" dxfId="6822" priority="5816" operator="between">
      <formula>0.95</formula>
      <formula>1</formula>
    </cfRule>
    <cfRule type="cellIs" dxfId="6821" priority="5817" stopIfTrue="1" operator="between">
      <formula>0</formula>
      <formula>0.5</formula>
    </cfRule>
  </conditionalFormatting>
  <conditionalFormatting sqref="AI130">
    <cfRule type="cellIs" dxfId="6820" priority="5808" operator="between">
      <formula>0.76</formula>
      <formula>0.95</formula>
    </cfRule>
    <cfRule type="cellIs" dxfId="6819" priority="5809" operator="between">
      <formula>0.51</formula>
      <formula>0.75</formula>
    </cfRule>
    <cfRule type="cellIs" dxfId="6818" priority="5810" operator="greaterThan">
      <formula>1</formula>
    </cfRule>
    <cfRule type="cellIs" dxfId="6817" priority="5811" operator="between">
      <formula>0.95</formula>
      <formula>1</formula>
    </cfRule>
    <cfRule type="cellIs" dxfId="6816" priority="5812" stopIfTrue="1" operator="between">
      <formula>0</formula>
      <formula>0.5</formula>
    </cfRule>
  </conditionalFormatting>
  <conditionalFormatting sqref="Y361:Y363">
    <cfRule type="cellIs" dxfId="6815" priority="5878" operator="between">
      <formula>0.76</formula>
      <formula>0.95</formula>
    </cfRule>
    <cfRule type="cellIs" dxfId="6814" priority="5879" operator="between">
      <formula>0.51</formula>
      <formula>0.75</formula>
    </cfRule>
    <cfRule type="cellIs" dxfId="6813" priority="5880" operator="greaterThan">
      <formula>1</formula>
    </cfRule>
    <cfRule type="cellIs" dxfId="6812" priority="5881" operator="between">
      <formula>0.95</formula>
      <formula>1</formula>
    </cfRule>
    <cfRule type="cellIs" dxfId="6811" priority="5882" stopIfTrue="1" operator="between">
      <formula>0</formula>
      <formula>0.5</formula>
    </cfRule>
  </conditionalFormatting>
  <conditionalFormatting sqref="AC304">
    <cfRule type="cellIs" dxfId="6810" priority="5773" operator="between">
      <formula>0.76</formula>
      <formula>0.95</formula>
    </cfRule>
    <cfRule type="cellIs" dxfId="6809" priority="5774" operator="between">
      <formula>0.51</formula>
      <formula>0.75</formula>
    </cfRule>
    <cfRule type="cellIs" dxfId="6808" priority="5775" operator="greaterThan">
      <formula>1</formula>
    </cfRule>
    <cfRule type="cellIs" dxfId="6807" priority="5776" operator="between">
      <formula>0.95</formula>
      <formula>1</formula>
    </cfRule>
    <cfRule type="cellIs" dxfId="6806" priority="5777" stopIfTrue="1" operator="between">
      <formula>0</formula>
      <formula>0.5</formula>
    </cfRule>
  </conditionalFormatting>
  <conditionalFormatting sqref="AI304">
    <cfRule type="cellIs" dxfId="6805" priority="5768" operator="between">
      <formula>0.76</formula>
      <formula>0.95</formula>
    </cfRule>
    <cfRule type="cellIs" dxfId="6804" priority="5769" operator="between">
      <formula>0.51</formula>
      <formula>0.75</formula>
    </cfRule>
    <cfRule type="cellIs" dxfId="6803" priority="5770" operator="greaterThan">
      <formula>1</formula>
    </cfRule>
    <cfRule type="cellIs" dxfId="6802" priority="5771" operator="between">
      <formula>0.95</formula>
      <formula>1</formula>
    </cfRule>
    <cfRule type="cellIs" dxfId="6801" priority="5772" stopIfTrue="1" operator="between">
      <formula>0</formula>
      <formula>0.5</formula>
    </cfRule>
  </conditionalFormatting>
  <conditionalFormatting sqref="AI361:AI363">
    <cfRule type="cellIs" dxfId="6800" priority="5838" operator="between">
      <formula>0.76</formula>
      <formula>0.95</formula>
    </cfRule>
    <cfRule type="cellIs" dxfId="6799" priority="5839" operator="between">
      <formula>0.51</formula>
      <formula>0.75</formula>
    </cfRule>
    <cfRule type="cellIs" dxfId="6798" priority="5840" operator="greaterThan">
      <formula>1</formula>
    </cfRule>
    <cfRule type="cellIs" dxfId="6797" priority="5841" operator="between">
      <formula>0.95</formula>
      <formula>1</formula>
    </cfRule>
    <cfRule type="cellIs" dxfId="6796" priority="5842" stopIfTrue="1" operator="between">
      <formula>0</formula>
      <formula>0.5</formula>
    </cfRule>
  </conditionalFormatting>
  <conditionalFormatting sqref="AF361:AF363">
    <cfRule type="cellIs" dxfId="6795" priority="5833" operator="between">
      <formula>0.76</formula>
      <formula>0.95</formula>
    </cfRule>
    <cfRule type="cellIs" dxfId="6794" priority="5834" operator="between">
      <formula>0.51</formula>
      <formula>0.75</formula>
    </cfRule>
    <cfRule type="cellIs" dxfId="6793" priority="5835" operator="greaterThan">
      <formula>1</formula>
    </cfRule>
    <cfRule type="cellIs" dxfId="6792" priority="5836" operator="between">
      <formula>0.95</formula>
      <formula>1</formula>
    </cfRule>
    <cfRule type="cellIs" dxfId="6791" priority="5837" stopIfTrue="1" operator="between">
      <formula>0</formula>
      <formula>0.5</formula>
    </cfRule>
  </conditionalFormatting>
  <conditionalFormatting sqref="AG361:AG363">
    <cfRule type="cellIs" dxfId="6790" priority="5828" operator="between">
      <formula>0.76</formula>
      <formula>0.95</formula>
    </cfRule>
    <cfRule type="cellIs" dxfId="6789" priority="5829" operator="between">
      <formula>0.51</formula>
      <formula>0.75</formula>
    </cfRule>
    <cfRule type="cellIs" dxfId="6788" priority="5830" operator="greaterThan">
      <formula>1</formula>
    </cfRule>
    <cfRule type="cellIs" dxfId="6787" priority="5831" operator="between">
      <formula>0.95</formula>
      <formula>1</formula>
    </cfRule>
    <cfRule type="cellIs" dxfId="6786" priority="5832" stopIfTrue="1" operator="between">
      <formula>0</formula>
      <formula>0.5</formula>
    </cfRule>
  </conditionalFormatting>
  <conditionalFormatting sqref="V361">
    <cfRule type="cellIs" dxfId="6785" priority="5958" operator="between">
      <formula>0.376</formula>
      <formula>0.475</formula>
    </cfRule>
    <cfRule type="cellIs" dxfId="6784" priority="5959" operator="between">
      <formula>0.2551</formula>
      <formula>0.3751</formula>
    </cfRule>
    <cfRule type="cellIs" dxfId="6783" priority="5960" operator="greaterThan">
      <formula>0.505</formula>
    </cfRule>
    <cfRule type="cellIs" dxfId="6782" priority="5961" operator="between">
      <formula>0.48</formula>
      <formula>0.5</formula>
    </cfRule>
    <cfRule type="cellIs" dxfId="6781" priority="5962" stopIfTrue="1" operator="between">
      <formula>0</formula>
      <formula>0.255</formula>
    </cfRule>
  </conditionalFormatting>
  <conditionalFormatting sqref="R361:R363">
    <cfRule type="cellIs" dxfId="6780" priority="5953" operator="between">
      <formula>0.76</formula>
      <formula>0.95</formula>
    </cfRule>
    <cfRule type="cellIs" dxfId="6779" priority="5954" operator="between">
      <formula>0.51</formula>
      <formula>0.75</formula>
    </cfRule>
    <cfRule type="cellIs" dxfId="6778" priority="5955" operator="greaterThan">
      <formula>1</formula>
    </cfRule>
    <cfRule type="cellIs" dxfId="6777" priority="5956" operator="between">
      <formula>0.95</formula>
      <formula>1</formula>
    </cfRule>
    <cfRule type="cellIs" dxfId="6776" priority="5957" stopIfTrue="1" operator="between">
      <formula>0</formula>
      <formula>0.5</formula>
    </cfRule>
  </conditionalFormatting>
  <conditionalFormatting sqref="S361">
    <cfRule type="cellIs" dxfId="6775" priority="5948" operator="between">
      <formula>0.76</formula>
      <formula>0.95</formula>
    </cfRule>
    <cfRule type="cellIs" dxfId="6774" priority="5949" operator="between">
      <formula>0.51</formula>
      <formula>0.75</formula>
    </cfRule>
    <cfRule type="cellIs" dxfId="6773" priority="5950" operator="greaterThan">
      <formula>1</formula>
    </cfRule>
    <cfRule type="cellIs" dxfId="6772" priority="5951" operator="between">
      <formula>0.95</formula>
      <formula>1</formula>
    </cfRule>
    <cfRule type="cellIs" dxfId="6771" priority="5952" stopIfTrue="1" operator="between">
      <formula>0</formula>
      <formula>0.5</formula>
    </cfRule>
  </conditionalFormatting>
  <conditionalFormatting sqref="T361:T362">
    <cfRule type="cellIs" dxfId="6770" priority="5943" operator="between">
      <formula>0.37505</formula>
      <formula>0.475</formula>
    </cfRule>
    <cfRule type="cellIs" dxfId="6769" priority="5944" operator="between">
      <formula>0.2505</formula>
      <formula>0.375</formula>
    </cfRule>
    <cfRule type="cellIs" dxfId="6768" priority="5945" operator="greaterThan">
      <formula>0.505</formula>
    </cfRule>
    <cfRule type="cellIs" dxfId="6767" priority="5946" operator="between">
      <formula>0.47505</formula>
      <formula>0.5</formula>
    </cfRule>
    <cfRule type="cellIs" dxfId="6766" priority="5947" stopIfTrue="1" operator="between">
      <formula>0</formula>
      <formula>0.25</formula>
    </cfRule>
  </conditionalFormatting>
  <conditionalFormatting sqref="U361">
    <cfRule type="cellIs" dxfId="6765" priority="5938" operator="between">
      <formula>0.191</formula>
      <formula>0.24</formula>
    </cfRule>
    <cfRule type="cellIs" dxfId="6764" priority="5939" operator="between">
      <formula>0.1251</formula>
      <formula>0.19</formula>
    </cfRule>
    <cfRule type="cellIs" dxfId="6763" priority="5940" operator="greaterThan">
      <formula>0.2601</formula>
    </cfRule>
    <cfRule type="cellIs" dxfId="6762" priority="5941" operator="between">
      <formula>0.2401</formula>
      <formula>0.26</formula>
    </cfRule>
    <cfRule type="cellIs" dxfId="6761" priority="5942" stopIfTrue="1" operator="between">
      <formula>0</formula>
      <formula>0.125</formula>
    </cfRule>
  </conditionalFormatting>
  <conditionalFormatting sqref="AC360">
    <cfRule type="cellIs" dxfId="6760" priority="5758" operator="between">
      <formula>0.76</formula>
      <formula>0.95</formula>
    </cfRule>
    <cfRule type="cellIs" dxfId="6759" priority="5759" operator="between">
      <formula>0.51</formula>
      <formula>0.75</formula>
    </cfRule>
    <cfRule type="cellIs" dxfId="6758" priority="5760" operator="greaterThan">
      <formula>1</formula>
    </cfRule>
    <cfRule type="cellIs" dxfId="6757" priority="5761" operator="between">
      <formula>0.95</formula>
      <formula>1</formula>
    </cfRule>
    <cfRule type="cellIs" dxfId="6756" priority="5762" stopIfTrue="1" operator="between">
      <formula>0</formula>
      <formula>0.5</formula>
    </cfRule>
  </conditionalFormatting>
  <conditionalFormatting sqref="AI360">
    <cfRule type="cellIs" dxfId="6755" priority="5753" operator="between">
      <formula>0.76</formula>
      <formula>0.95</formula>
    </cfRule>
    <cfRule type="cellIs" dxfId="6754" priority="5754" operator="between">
      <formula>0.51</formula>
      <formula>0.75</formula>
    </cfRule>
    <cfRule type="cellIs" dxfId="6753" priority="5755" operator="greaterThan">
      <formula>1</formula>
    </cfRule>
    <cfRule type="cellIs" dxfId="6752" priority="5756" operator="between">
      <formula>0.95</formula>
      <formula>1</formula>
    </cfRule>
    <cfRule type="cellIs" dxfId="6751" priority="5757" stopIfTrue="1" operator="between">
      <formula>0</formula>
      <formula>0.5</formula>
    </cfRule>
  </conditionalFormatting>
  <conditionalFormatting sqref="AC361:AC363">
    <cfRule type="cellIs" dxfId="6750" priority="5883" operator="between">
      <formula>0.56251</formula>
      <formula>0.7125</formula>
    </cfRule>
    <cfRule type="cellIs" dxfId="6749" priority="5884" operator="between">
      <formula>0.3751</formula>
      <formula>0.5625</formula>
    </cfRule>
    <cfRule type="cellIs" dxfId="6748" priority="5885" operator="greaterThan">
      <formula>0.751</formula>
    </cfRule>
    <cfRule type="cellIs" dxfId="6747" priority="5886" operator="between">
      <formula>0.71251</formula>
      <formula>0.75</formula>
    </cfRule>
    <cfRule type="cellIs" dxfId="6746" priority="5887" stopIfTrue="1" operator="between">
      <formula>0</formula>
      <formula>0.375</formula>
    </cfRule>
  </conditionalFormatting>
  <conditionalFormatting sqref="O203">
    <cfRule type="cellIs" dxfId="6745" priority="5803" operator="between">
      <formula>0.1876</formula>
      <formula>0.2375</formula>
    </cfRule>
    <cfRule type="cellIs" dxfId="6744" priority="5804" operator="between">
      <formula>0.1251</formula>
      <formula>0.1875</formula>
    </cfRule>
    <cfRule type="cellIs" dxfId="6743" priority="5805" operator="greaterThan">
      <formula>0.25</formula>
    </cfRule>
    <cfRule type="cellIs" dxfId="6742" priority="5806" operator="between">
      <formula>0.2376</formula>
      <formula>0.25</formula>
    </cfRule>
    <cfRule type="cellIs" dxfId="6741" priority="5807" stopIfTrue="1" operator="between">
      <formula>0</formula>
      <formula>0.125</formula>
    </cfRule>
  </conditionalFormatting>
  <conditionalFormatting sqref="Z361:Z363">
    <cfRule type="cellIs" dxfId="6740" priority="5873" operator="between">
      <formula>0.76</formula>
      <formula>0.95</formula>
    </cfRule>
    <cfRule type="cellIs" dxfId="6739" priority="5874" operator="between">
      <formula>0.51</formula>
      <formula>0.75</formula>
    </cfRule>
    <cfRule type="cellIs" dxfId="6738" priority="5875" operator="greaterThan">
      <formula>1</formula>
    </cfRule>
    <cfRule type="cellIs" dxfId="6737" priority="5876" operator="between">
      <formula>0.95</formula>
      <formula>1</formula>
    </cfRule>
    <cfRule type="cellIs" dxfId="6736" priority="5877" stopIfTrue="1" operator="between">
      <formula>0</formula>
      <formula>0.5</formula>
    </cfRule>
  </conditionalFormatting>
  <conditionalFormatting sqref="AC203">
    <cfRule type="cellIs" dxfId="6735" priority="5793" operator="between">
      <formula>0.76</formula>
      <formula>0.95</formula>
    </cfRule>
    <cfRule type="cellIs" dxfId="6734" priority="5794" operator="between">
      <formula>0.51</formula>
      <formula>0.75</formula>
    </cfRule>
    <cfRule type="cellIs" dxfId="6733" priority="5795" operator="greaterThan">
      <formula>1</formula>
    </cfRule>
    <cfRule type="cellIs" dxfId="6732" priority="5796" operator="between">
      <formula>0.95</formula>
      <formula>1</formula>
    </cfRule>
    <cfRule type="cellIs" dxfId="6731" priority="5797" stopIfTrue="1" operator="between">
      <formula>0</formula>
      <formula>0.5</formula>
    </cfRule>
  </conditionalFormatting>
  <conditionalFormatting sqref="AB361:AB363">
    <cfRule type="cellIs" dxfId="6730" priority="5863" operator="between">
      <formula>0.191</formula>
      <formula>0.24</formula>
    </cfRule>
    <cfRule type="cellIs" dxfId="6729" priority="5864" operator="between">
      <formula>0.1251</formula>
      <formula>0.19</formula>
    </cfRule>
    <cfRule type="cellIs" dxfId="6728" priority="5865" operator="greaterThan">
      <formula>0.2601</formula>
    </cfRule>
    <cfRule type="cellIs" dxfId="6727" priority="5866" operator="between">
      <formula>0.2401</formula>
      <formula>0.26</formula>
    </cfRule>
    <cfRule type="cellIs" dxfId="6726" priority="5867" stopIfTrue="1" operator="between">
      <formula>0</formula>
      <formula>0.125</formula>
    </cfRule>
  </conditionalFormatting>
  <conditionalFormatting sqref="AI203">
    <cfRule type="cellIs" dxfId="6725" priority="5788" operator="between">
      <formula>0.76</formula>
      <formula>0.95</formula>
    </cfRule>
    <cfRule type="cellIs" dxfId="6724" priority="5789" operator="between">
      <formula>0.51</formula>
      <formula>0.75</formula>
    </cfRule>
    <cfRule type="cellIs" dxfId="6723" priority="5790" operator="greaterThan">
      <formula>1</formula>
    </cfRule>
    <cfRule type="cellIs" dxfId="6722" priority="5791" operator="between">
      <formula>0.95</formula>
      <formula>1</formula>
    </cfRule>
    <cfRule type="cellIs" dxfId="6721" priority="5792" stopIfTrue="1" operator="between">
      <formula>0</formula>
      <formula>0.5</formula>
    </cfRule>
  </conditionalFormatting>
  <conditionalFormatting sqref="R36">
    <cfRule type="cellIs" dxfId="6720" priority="5743" operator="between">
      <formula>0.76</formula>
      <formula>0.95</formula>
    </cfRule>
    <cfRule type="cellIs" dxfId="6719" priority="5744" operator="between">
      <formula>0.51</formula>
      <formula>0.75</formula>
    </cfRule>
    <cfRule type="cellIs" dxfId="6718" priority="5745" operator="greaterThan">
      <formula>1</formula>
    </cfRule>
    <cfRule type="cellIs" dxfId="6717" priority="5746" operator="between">
      <formula>0.95</formula>
      <formula>1</formula>
    </cfRule>
    <cfRule type="cellIs" dxfId="6716" priority="5747" stopIfTrue="1" operator="between">
      <formula>0</formula>
      <formula>0.5</formula>
    </cfRule>
  </conditionalFormatting>
  <conditionalFormatting sqref="T36">
    <cfRule type="cellIs" dxfId="6715" priority="5738" operator="between">
      <formula>0.3751</formula>
      <formula>0.475</formula>
    </cfRule>
    <cfRule type="cellIs" dxfId="6714" priority="5739" operator="between">
      <formula>0.2551</formula>
      <formula>0.375</formula>
    </cfRule>
    <cfRule type="cellIs" dxfId="6713" priority="5740" operator="greaterThan">
      <formula>0.505</formula>
    </cfRule>
    <cfRule type="cellIs" dxfId="6712" priority="5741" operator="between">
      <formula>0.48</formula>
      <formula>0.5</formula>
    </cfRule>
    <cfRule type="cellIs" dxfId="6711" priority="5742" stopIfTrue="1" operator="between">
      <formula>0</formula>
      <formula>0.255</formula>
    </cfRule>
  </conditionalFormatting>
  <conditionalFormatting sqref="Y36 AF36 AH36:AI36">
    <cfRule type="cellIs" dxfId="6710" priority="5725" operator="between">
      <formula>0.76</formula>
      <formula>0.95</formula>
    </cfRule>
    <cfRule type="cellIs" dxfId="6709" priority="5726" operator="between">
      <formula>0.51</formula>
      <formula>0.75</formula>
    </cfRule>
    <cfRule type="cellIs" dxfId="6708" priority="5727" operator="greaterThan">
      <formula>1</formula>
    </cfRule>
    <cfRule type="cellIs" dxfId="6707" priority="5728" operator="between">
      <formula>0.95</formula>
      <formula>1</formula>
    </cfRule>
    <cfRule type="cellIs" dxfId="6706" priority="5729" stopIfTrue="1" operator="between">
      <formula>0</formula>
      <formula>0.5</formula>
    </cfRule>
  </conditionalFormatting>
  <conditionalFormatting sqref="AA36:AB36">
    <cfRule type="cellIs" dxfId="6705" priority="5720" operator="between">
      <formula>0.56251</formula>
      <formula>0.7125</formula>
    </cfRule>
    <cfRule type="cellIs" dxfId="6704" priority="5721" operator="between">
      <formula>0.3751</formula>
      <formula>0.5625</formula>
    </cfRule>
    <cfRule type="cellIs" dxfId="6703" priority="5722" operator="greaterThan">
      <formula>0.751</formula>
    </cfRule>
    <cfRule type="cellIs" dxfId="6702" priority="5723" operator="between">
      <formula>0.71251</formula>
      <formula>0.75</formula>
    </cfRule>
    <cfRule type="cellIs" dxfId="6701" priority="5724" stopIfTrue="1" operator="between">
      <formula>0</formula>
      <formula>0.375</formula>
    </cfRule>
  </conditionalFormatting>
  <conditionalFormatting sqref="U36">
    <cfRule type="cellIs" dxfId="6700" priority="5715" operator="between">
      <formula>0.376</formula>
      <formula>0.475</formula>
    </cfRule>
    <cfRule type="cellIs" dxfId="6699" priority="5716" operator="between">
      <formula>0.2551</formula>
      <formula>0.3751</formula>
    </cfRule>
    <cfRule type="cellIs" dxfId="6698" priority="5717" operator="greaterThan">
      <formula>0.505</formula>
    </cfRule>
    <cfRule type="cellIs" dxfId="6697" priority="5718" operator="between">
      <formula>0.48</formula>
      <formula>0.5</formula>
    </cfRule>
    <cfRule type="cellIs" dxfId="6696" priority="5719" stopIfTrue="1" operator="between">
      <formula>0</formula>
      <formula>0.255</formula>
    </cfRule>
  </conditionalFormatting>
  <conditionalFormatting sqref="AG36">
    <cfRule type="cellIs" dxfId="6695" priority="5705" operator="between">
      <formula>0.76</formula>
      <formula>0.95</formula>
    </cfRule>
    <cfRule type="cellIs" dxfId="6694" priority="5706" operator="between">
      <formula>0.51</formula>
      <formula>0.75</formula>
    </cfRule>
    <cfRule type="cellIs" dxfId="6693" priority="5707" operator="greaterThan">
      <formula>1</formula>
    </cfRule>
    <cfRule type="cellIs" dxfId="6692" priority="5708" operator="between">
      <formula>0.95</formula>
      <formula>1</formula>
    </cfRule>
    <cfRule type="cellIs" dxfId="6691" priority="5709" stopIfTrue="1" operator="between">
      <formula>0</formula>
      <formula>0.5</formula>
    </cfRule>
  </conditionalFormatting>
  <conditionalFormatting sqref="S36">
    <cfRule type="cellIs" dxfId="6690" priority="5685" operator="between">
      <formula>0.76</formula>
      <formula>0.95</formula>
    </cfRule>
    <cfRule type="cellIs" dxfId="6689" priority="5686" operator="between">
      <formula>0.51</formula>
      <formula>0.75</formula>
    </cfRule>
    <cfRule type="cellIs" dxfId="6688" priority="5687" operator="greaterThan">
      <formula>1</formula>
    </cfRule>
    <cfRule type="cellIs" dxfId="6687" priority="5688" operator="between">
      <formula>0.95</formula>
      <formula>1</formula>
    </cfRule>
    <cfRule type="cellIs" dxfId="6686" priority="5689" stopIfTrue="1" operator="between">
      <formula>0</formula>
      <formula>0.5</formula>
    </cfRule>
  </conditionalFormatting>
  <conditionalFormatting sqref="V36">
    <cfRule type="cellIs" dxfId="6685" priority="5680" operator="between">
      <formula>0.376</formula>
      <formula>0.475</formula>
    </cfRule>
    <cfRule type="cellIs" dxfId="6684" priority="5681" operator="between">
      <formula>0.2551</formula>
      <formula>0.3751</formula>
    </cfRule>
    <cfRule type="cellIs" dxfId="6683" priority="5682" operator="greaterThan">
      <formula>0.505</formula>
    </cfRule>
    <cfRule type="cellIs" dxfId="6682" priority="5683" operator="between">
      <formula>0.48</formula>
      <formula>0.5</formula>
    </cfRule>
    <cfRule type="cellIs" dxfId="6681" priority="5684" stopIfTrue="1" operator="between">
      <formula>0</formula>
      <formula>0.255</formula>
    </cfRule>
  </conditionalFormatting>
  <conditionalFormatting sqref="Z36">
    <cfRule type="cellIs" dxfId="6680" priority="5675" operator="between">
      <formula>0.76</formula>
      <formula>0.95</formula>
    </cfRule>
    <cfRule type="cellIs" dxfId="6679" priority="5676" operator="between">
      <formula>0.51</formula>
      <formula>0.75</formula>
    </cfRule>
    <cfRule type="cellIs" dxfId="6678" priority="5677" operator="greaterThan">
      <formula>1</formula>
    </cfRule>
    <cfRule type="cellIs" dxfId="6677" priority="5678" operator="between">
      <formula>0.95</formula>
      <formula>1</formula>
    </cfRule>
    <cfRule type="cellIs" dxfId="6676" priority="5679" stopIfTrue="1" operator="between">
      <formula>0</formula>
      <formula>0.5</formula>
    </cfRule>
  </conditionalFormatting>
  <conditionalFormatting sqref="AC36">
    <cfRule type="cellIs" dxfId="6675" priority="5670" operator="between">
      <formula>0.56251</formula>
      <formula>0.7125</formula>
    </cfRule>
    <cfRule type="cellIs" dxfId="6674" priority="5671" operator="between">
      <formula>0.3751</formula>
      <formula>0.5625</formula>
    </cfRule>
    <cfRule type="cellIs" dxfId="6673" priority="5672" operator="greaterThan">
      <formula>0.751</formula>
    </cfRule>
    <cfRule type="cellIs" dxfId="6672" priority="5673" operator="between">
      <formula>0.71251</formula>
      <formula>0.75</formula>
    </cfRule>
    <cfRule type="cellIs" dxfId="6671" priority="5674" stopIfTrue="1" operator="between">
      <formula>0</formula>
      <formula>0.375</formula>
    </cfRule>
  </conditionalFormatting>
  <conditionalFormatting sqref="R37:R39">
    <cfRule type="cellIs" dxfId="6670" priority="5665" operator="between">
      <formula>0.76</formula>
      <formula>0.95</formula>
    </cfRule>
    <cfRule type="cellIs" dxfId="6669" priority="5666" operator="between">
      <formula>0.51</formula>
      <formula>0.75</formula>
    </cfRule>
    <cfRule type="cellIs" dxfId="6668" priority="5667" operator="greaterThan">
      <formula>1</formula>
    </cfRule>
    <cfRule type="cellIs" dxfId="6667" priority="5668" operator="between">
      <formula>0.95</formula>
      <formula>1</formula>
    </cfRule>
    <cfRule type="cellIs" dxfId="6666" priority="5669" stopIfTrue="1" operator="between">
      <formula>0</formula>
      <formula>0.5</formula>
    </cfRule>
  </conditionalFormatting>
  <conditionalFormatting sqref="T37:T39">
    <cfRule type="cellIs" dxfId="6665" priority="5660" operator="between">
      <formula>0.3751</formula>
      <formula>0.475</formula>
    </cfRule>
    <cfRule type="cellIs" dxfId="6664" priority="5661" operator="between">
      <formula>0.2551</formula>
      <formula>0.375</formula>
    </cfRule>
    <cfRule type="cellIs" dxfId="6663" priority="5662" operator="greaterThan">
      <formula>0.505</formula>
    </cfRule>
    <cfRule type="cellIs" dxfId="6662" priority="5663" operator="between">
      <formula>0.48</formula>
      <formula>0.5</formula>
    </cfRule>
    <cfRule type="cellIs" dxfId="6661" priority="5664" stopIfTrue="1" operator="between">
      <formula>0</formula>
      <formula>0.255</formula>
    </cfRule>
  </conditionalFormatting>
  <conditionalFormatting sqref="Y37:Y39 AF37:AF39 AH37:AI39">
    <cfRule type="cellIs" dxfId="6660" priority="5647" operator="between">
      <formula>0.76</formula>
      <formula>0.95</formula>
    </cfRule>
    <cfRule type="cellIs" dxfId="6659" priority="5648" operator="between">
      <formula>0.51</formula>
      <formula>0.75</formula>
    </cfRule>
    <cfRule type="cellIs" dxfId="6658" priority="5649" operator="greaterThan">
      <formula>1</formula>
    </cfRule>
    <cfRule type="cellIs" dxfId="6657" priority="5650" operator="between">
      <formula>0.95</formula>
      <formula>1</formula>
    </cfRule>
    <cfRule type="cellIs" dxfId="6656" priority="5651" stopIfTrue="1" operator="between">
      <formula>0</formula>
      <formula>0.5</formula>
    </cfRule>
  </conditionalFormatting>
  <conditionalFormatting sqref="AA37:AB39">
    <cfRule type="cellIs" dxfId="6655" priority="5642" operator="between">
      <formula>0.56251</formula>
      <formula>0.7125</formula>
    </cfRule>
    <cfRule type="cellIs" dxfId="6654" priority="5643" operator="between">
      <formula>0.3751</formula>
      <formula>0.5625</formula>
    </cfRule>
    <cfRule type="cellIs" dxfId="6653" priority="5644" operator="greaterThan">
      <formula>0.751</formula>
    </cfRule>
    <cfRule type="cellIs" dxfId="6652" priority="5645" operator="between">
      <formula>0.71251</formula>
      <formula>0.75</formula>
    </cfRule>
    <cfRule type="cellIs" dxfId="6651" priority="5646" stopIfTrue="1" operator="between">
      <formula>0</formula>
      <formula>0.375</formula>
    </cfRule>
  </conditionalFormatting>
  <conditionalFormatting sqref="U37:U39">
    <cfRule type="cellIs" dxfId="6650" priority="5637" operator="between">
      <formula>0.376</formula>
      <formula>0.475</formula>
    </cfRule>
    <cfRule type="cellIs" dxfId="6649" priority="5638" operator="between">
      <formula>0.2551</formula>
      <formula>0.3751</formula>
    </cfRule>
    <cfRule type="cellIs" dxfId="6648" priority="5639" operator="greaterThan">
      <formula>0.505</formula>
    </cfRule>
    <cfRule type="cellIs" dxfId="6647" priority="5640" operator="between">
      <formula>0.48</formula>
      <formula>0.5</formula>
    </cfRule>
    <cfRule type="cellIs" dxfId="6646" priority="5641" stopIfTrue="1" operator="between">
      <formula>0</formula>
      <formula>0.255</formula>
    </cfRule>
  </conditionalFormatting>
  <conditionalFormatting sqref="AG37:AG39">
    <cfRule type="cellIs" dxfId="6645" priority="5632" operator="between">
      <formula>0.76</formula>
      <formula>0.95</formula>
    </cfRule>
    <cfRule type="cellIs" dxfId="6644" priority="5633" operator="between">
      <formula>0.51</formula>
      <formula>0.75</formula>
    </cfRule>
    <cfRule type="cellIs" dxfId="6643" priority="5634" operator="greaterThan">
      <formula>1</formula>
    </cfRule>
    <cfRule type="cellIs" dxfId="6642" priority="5635" operator="between">
      <formula>0.95</formula>
      <formula>1</formula>
    </cfRule>
    <cfRule type="cellIs" dxfId="6641" priority="5636" stopIfTrue="1" operator="between">
      <formula>0</formula>
      <formula>0.5</formula>
    </cfRule>
  </conditionalFormatting>
  <conditionalFormatting sqref="S37:S39">
    <cfRule type="cellIs" dxfId="6640" priority="5612" operator="between">
      <formula>0.76</formula>
      <formula>0.95</formula>
    </cfRule>
    <cfRule type="cellIs" dxfId="6639" priority="5613" operator="between">
      <formula>0.51</formula>
      <formula>0.75</formula>
    </cfRule>
    <cfRule type="cellIs" dxfId="6638" priority="5614" operator="greaterThan">
      <formula>1</formula>
    </cfRule>
    <cfRule type="cellIs" dxfId="6637" priority="5615" operator="between">
      <formula>0.95</formula>
      <formula>1</formula>
    </cfRule>
    <cfRule type="cellIs" dxfId="6636" priority="5616" stopIfTrue="1" operator="between">
      <formula>0</formula>
      <formula>0.5</formula>
    </cfRule>
  </conditionalFormatting>
  <conditionalFormatting sqref="V37:V39">
    <cfRule type="cellIs" dxfId="6635" priority="5607" operator="between">
      <formula>0.376</formula>
      <formula>0.475</formula>
    </cfRule>
    <cfRule type="cellIs" dxfId="6634" priority="5608" operator="between">
      <formula>0.2551</formula>
      <formula>0.3751</formula>
    </cfRule>
    <cfRule type="cellIs" dxfId="6633" priority="5609" operator="greaterThan">
      <formula>0.505</formula>
    </cfRule>
    <cfRule type="cellIs" dxfId="6632" priority="5610" operator="between">
      <formula>0.48</formula>
      <formula>0.5</formula>
    </cfRule>
    <cfRule type="cellIs" dxfId="6631" priority="5611" stopIfTrue="1" operator="between">
      <formula>0</formula>
      <formula>0.255</formula>
    </cfRule>
  </conditionalFormatting>
  <conditionalFormatting sqref="Z37:Z39">
    <cfRule type="cellIs" dxfId="6630" priority="5602" operator="between">
      <formula>0.76</formula>
      <formula>0.95</formula>
    </cfRule>
    <cfRule type="cellIs" dxfId="6629" priority="5603" operator="between">
      <formula>0.51</formula>
      <formula>0.75</formula>
    </cfRule>
    <cfRule type="cellIs" dxfId="6628" priority="5604" operator="greaterThan">
      <formula>1</formula>
    </cfRule>
    <cfRule type="cellIs" dxfId="6627" priority="5605" operator="between">
      <formula>0.95</formula>
      <formula>1</formula>
    </cfRule>
    <cfRule type="cellIs" dxfId="6626" priority="5606" stopIfTrue="1" operator="between">
      <formula>0</formula>
      <formula>0.5</formula>
    </cfRule>
  </conditionalFormatting>
  <conditionalFormatting sqref="AC37:AC39">
    <cfRule type="cellIs" dxfId="6625" priority="5597" operator="between">
      <formula>0.56251</formula>
      <formula>0.7125</formula>
    </cfRule>
    <cfRule type="cellIs" dxfId="6624" priority="5598" operator="between">
      <formula>0.3751</formula>
      <formula>0.5625</formula>
    </cfRule>
    <cfRule type="cellIs" dxfId="6623" priority="5599" operator="greaterThan">
      <formula>0.751</formula>
    </cfRule>
    <cfRule type="cellIs" dxfId="6622" priority="5600" operator="between">
      <formula>0.71251</formula>
      <formula>0.75</formula>
    </cfRule>
    <cfRule type="cellIs" dxfId="6621" priority="5601" stopIfTrue="1" operator="between">
      <formula>0</formula>
      <formula>0.375</formula>
    </cfRule>
  </conditionalFormatting>
  <conditionalFormatting sqref="R156 Y156 AF156:AI156">
    <cfRule type="cellIs" dxfId="6620" priority="5446" operator="between">
      <formula>0.76</formula>
      <formula>0.95</formula>
    </cfRule>
    <cfRule type="cellIs" dxfId="6619" priority="5447" operator="between">
      <formula>0.51</formula>
      <formula>0.75</formula>
    </cfRule>
    <cfRule type="cellIs" dxfId="6618" priority="5448" operator="greaterThan">
      <formula>1</formula>
    </cfRule>
    <cfRule type="cellIs" dxfId="6617" priority="5449" operator="between">
      <formula>0.95</formula>
      <formula>1</formula>
    </cfRule>
    <cfRule type="cellIs" dxfId="6616" priority="5450" stopIfTrue="1" operator="between">
      <formula>0</formula>
      <formula>0.5</formula>
    </cfRule>
  </conditionalFormatting>
  <conditionalFormatting sqref="T156">
    <cfRule type="cellIs" dxfId="6615" priority="5441" operator="between">
      <formula>0.3751</formula>
      <formula>0.475</formula>
    </cfRule>
    <cfRule type="cellIs" dxfId="6614" priority="5442" operator="between">
      <formula>0.2551</formula>
      <formula>0.375</formula>
    </cfRule>
    <cfRule type="cellIs" dxfId="6613" priority="5443" operator="greaterThan">
      <formula>0.505</formula>
    </cfRule>
    <cfRule type="cellIs" dxfId="6612" priority="5444" operator="between">
      <formula>0.48</formula>
      <formula>0.5</formula>
    </cfRule>
    <cfRule type="cellIs" dxfId="6611" priority="5445" stopIfTrue="1" operator="between">
      <formula>0</formula>
      <formula>0.255</formula>
    </cfRule>
  </conditionalFormatting>
  <conditionalFormatting sqref="AA156:AB156">
    <cfRule type="cellIs" dxfId="6610" priority="5436" operator="between">
      <formula>0.56251</formula>
      <formula>0.7125</formula>
    </cfRule>
    <cfRule type="cellIs" dxfId="6609" priority="5437" operator="between">
      <formula>0.3751</formula>
      <formula>0.5625</formula>
    </cfRule>
    <cfRule type="cellIs" dxfId="6608" priority="5438" operator="greaterThan">
      <formula>0.751</formula>
    </cfRule>
    <cfRule type="cellIs" dxfId="6607" priority="5439" operator="between">
      <formula>0.71251</formula>
      <formula>0.75</formula>
    </cfRule>
    <cfRule type="cellIs" dxfId="6606" priority="5440" stopIfTrue="1" operator="between">
      <formula>0</formula>
      <formula>0.375</formula>
    </cfRule>
  </conditionalFormatting>
  <conditionalFormatting sqref="U156">
    <cfRule type="cellIs" dxfId="6605" priority="5426" operator="between">
      <formula>0.376</formula>
      <formula>0.475</formula>
    </cfRule>
    <cfRule type="cellIs" dxfId="6604" priority="5427" operator="between">
      <formula>0.2551</formula>
      <formula>0.3751</formula>
    </cfRule>
    <cfRule type="cellIs" dxfId="6603" priority="5428" operator="greaterThan">
      <formula>0.505</formula>
    </cfRule>
    <cfRule type="cellIs" dxfId="6602" priority="5429" operator="between">
      <formula>0.48</formula>
      <formula>0.5</formula>
    </cfRule>
    <cfRule type="cellIs" dxfId="6601" priority="5430" stopIfTrue="1" operator="between">
      <formula>0</formula>
      <formula>0.255</formula>
    </cfRule>
  </conditionalFormatting>
  <conditionalFormatting sqref="S156">
    <cfRule type="cellIs" dxfId="6600" priority="5391" operator="between">
      <formula>0.76</formula>
      <formula>0.95</formula>
    </cfRule>
    <cfRule type="cellIs" dxfId="6599" priority="5392" operator="between">
      <formula>0.51</formula>
      <formula>0.75</formula>
    </cfRule>
    <cfRule type="cellIs" dxfId="6598" priority="5393" operator="greaterThan">
      <formula>1</formula>
    </cfRule>
    <cfRule type="cellIs" dxfId="6597" priority="5394" operator="between">
      <formula>0.95</formula>
      <formula>1</formula>
    </cfRule>
    <cfRule type="cellIs" dxfId="6596" priority="5395" stopIfTrue="1" operator="between">
      <formula>0</formula>
      <formula>0.5</formula>
    </cfRule>
  </conditionalFormatting>
  <conditionalFormatting sqref="V156">
    <cfRule type="cellIs" dxfId="6595" priority="5386" operator="between">
      <formula>0.376</formula>
      <formula>0.475</formula>
    </cfRule>
    <cfRule type="cellIs" dxfId="6594" priority="5387" operator="between">
      <formula>0.2551</formula>
      <formula>0.3751</formula>
    </cfRule>
    <cfRule type="cellIs" dxfId="6593" priority="5388" operator="greaterThan">
      <formula>0.505</formula>
    </cfRule>
    <cfRule type="cellIs" dxfId="6592" priority="5389" operator="between">
      <formula>0.48</formula>
      <formula>0.5</formula>
    </cfRule>
    <cfRule type="cellIs" dxfId="6591" priority="5390" stopIfTrue="1" operator="between">
      <formula>0</formula>
      <formula>0.255</formula>
    </cfRule>
  </conditionalFormatting>
  <conditionalFormatting sqref="Z156">
    <cfRule type="cellIs" dxfId="6590" priority="5381" operator="between">
      <formula>0.76</formula>
      <formula>0.95</formula>
    </cfRule>
    <cfRule type="cellIs" dxfId="6589" priority="5382" operator="between">
      <formula>0.51</formula>
      <formula>0.75</formula>
    </cfRule>
    <cfRule type="cellIs" dxfId="6588" priority="5383" operator="greaterThan">
      <formula>1</formula>
    </cfRule>
    <cfRule type="cellIs" dxfId="6587" priority="5384" operator="between">
      <formula>0.95</formula>
      <formula>1</formula>
    </cfRule>
    <cfRule type="cellIs" dxfId="6586" priority="5385" stopIfTrue="1" operator="between">
      <formula>0</formula>
      <formula>0.5</formula>
    </cfRule>
  </conditionalFormatting>
  <conditionalFormatting sqref="AC156">
    <cfRule type="cellIs" dxfId="6585" priority="5376" operator="between">
      <formula>0.56251</formula>
      <formula>0.7125</formula>
    </cfRule>
    <cfRule type="cellIs" dxfId="6584" priority="5377" operator="between">
      <formula>0.3751</formula>
      <formula>0.5625</formula>
    </cfRule>
    <cfRule type="cellIs" dxfId="6583" priority="5378" operator="greaterThan">
      <formula>0.751</formula>
    </cfRule>
    <cfRule type="cellIs" dxfId="6582" priority="5379" operator="between">
      <formula>0.71251</formula>
      <formula>0.75</formula>
    </cfRule>
    <cfRule type="cellIs" dxfId="6581" priority="5380" stopIfTrue="1" operator="between">
      <formula>0</formula>
      <formula>0.375</formula>
    </cfRule>
  </conditionalFormatting>
  <conditionalFormatting sqref="R157 Y157 AF157:AI157">
    <cfRule type="cellIs" dxfId="6580" priority="5371" operator="between">
      <formula>0.76</formula>
      <formula>0.95</formula>
    </cfRule>
    <cfRule type="cellIs" dxfId="6579" priority="5372" operator="between">
      <formula>0.51</formula>
      <formula>0.75</formula>
    </cfRule>
    <cfRule type="cellIs" dxfId="6578" priority="5373" operator="greaterThan">
      <formula>1</formula>
    </cfRule>
    <cfRule type="cellIs" dxfId="6577" priority="5374" operator="between">
      <formula>0.95</formula>
      <formula>1</formula>
    </cfRule>
    <cfRule type="cellIs" dxfId="6576" priority="5375" stopIfTrue="1" operator="between">
      <formula>0</formula>
      <formula>0.5</formula>
    </cfRule>
  </conditionalFormatting>
  <conditionalFormatting sqref="T157">
    <cfRule type="cellIs" dxfId="6575" priority="5366" operator="between">
      <formula>0.3751</formula>
      <formula>0.475</formula>
    </cfRule>
    <cfRule type="cellIs" dxfId="6574" priority="5367" operator="between">
      <formula>0.2551</formula>
      <formula>0.375</formula>
    </cfRule>
    <cfRule type="cellIs" dxfId="6573" priority="5368" operator="greaterThan">
      <formula>0.505</formula>
    </cfRule>
    <cfRule type="cellIs" dxfId="6572" priority="5369" operator="between">
      <formula>0.48</formula>
      <formula>0.5</formula>
    </cfRule>
    <cfRule type="cellIs" dxfId="6571" priority="5370" stopIfTrue="1" operator="between">
      <formula>0</formula>
      <formula>0.255</formula>
    </cfRule>
  </conditionalFormatting>
  <conditionalFormatting sqref="AA157:AB157">
    <cfRule type="cellIs" dxfId="6570" priority="5361" operator="between">
      <formula>0.56251</formula>
      <formula>0.7125</formula>
    </cfRule>
    <cfRule type="cellIs" dxfId="6569" priority="5362" operator="between">
      <formula>0.3751</formula>
      <formula>0.5625</formula>
    </cfRule>
    <cfRule type="cellIs" dxfId="6568" priority="5363" operator="greaterThan">
      <formula>0.751</formula>
    </cfRule>
    <cfRule type="cellIs" dxfId="6567" priority="5364" operator="between">
      <formula>0.71251</formula>
      <formula>0.75</formula>
    </cfRule>
    <cfRule type="cellIs" dxfId="6566" priority="5365" stopIfTrue="1" operator="between">
      <formula>0</formula>
      <formula>0.375</formula>
    </cfRule>
  </conditionalFormatting>
  <conditionalFormatting sqref="U157">
    <cfRule type="cellIs" dxfId="6565" priority="5351" operator="between">
      <formula>0.376</formula>
      <formula>0.475</formula>
    </cfRule>
    <cfRule type="cellIs" dxfId="6564" priority="5352" operator="between">
      <formula>0.2551</formula>
      <formula>0.3751</formula>
    </cfRule>
    <cfRule type="cellIs" dxfId="6563" priority="5353" operator="greaterThan">
      <formula>0.505</formula>
    </cfRule>
    <cfRule type="cellIs" dxfId="6562" priority="5354" operator="between">
      <formula>0.48</formula>
      <formula>0.5</formula>
    </cfRule>
    <cfRule type="cellIs" dxfId="6561" priority="5355" stopIfTrue="1" operator="between">
      <formula>0</formula>
      <formula>0.255</formula>
    </cfRule>
  </conditionalFormatting>
  <conditionalFormatting sqref="S157">
    <cfRule type="cellIs" dxfId="6560" priority="5316" operator="between">
      <formula>0.76</formula>
      <formula>0.95</formula>
    </cfRule>
    <cfRule type="cellIs" dxfId="6559" priority="5317" operator="between">
      <formula>0.51</formula>
      <formula>0.75</formula>
    </cfRule>
    <cfRule type="cellIs" dxfId="6558" priority="5318" operator="greaterThan">
      <formula>1</formula>
    </cfRule>
    <cfRule type="cellIs" dxfId="6557" priority="5319" operator="between">
      <formula>0.95</formula>
      <formula>1</formula>
    </cfRule>
    <cfRule type="cellIs" dxfId="6556" priority="5320" stopIfTrue="1" operator="between">
      <formula>0</formula>
      <formula>0.5</formula>
    </cfRule>
  </conditionalFormatting>
  <conditionalFormatting sqref="V157">
    <cfRule type="cellIs" dxfId="6555" priority="5311" operator="between">
      <formula>0.376</formula>
      <formula>0.475</formula>
    </cfRule>
    <cfRule type="cellIs" dxfId="6554" priority="5312" operator="between">
      <formula>0.2551</formula>
      <formula>0.3751</formula>
    </cfRule>
    <cfRule type="cellIs" dxfId="6553" priority="5313" operator="greaterThan">
      <formula>0.505</formula>
    </cfRule>
    <cfRule type="cellIs" dxfId="6552" priority="5314" operator="between">
      <formula>0.48</formula>
      <formula>0.5</formula>
    </cfRule>
    <cfRule type="cellIs" dxfId="6551" priority="5315" stopIfTrue="1" operator="between">
      <formula>0</formula>
      <formula>0.255</formula>
    </cfRule>
  </conditionalFormatting>
  <conditionalFormatting sqref="Z157">
    <cfRule type="cellIs" dxfId="6550" priority="5306" operator="between">
      <formula>0.76</formula>
      <formula>0.95</formula>
    </cfRule>
    <cfRule type="cellIs" dxfId="6549" priority="5307" operator="between">
      <formula>0.51</formula>
      <formula>0.75</formula>
    </cfRule>
    <cfRule type="cellIs" dxfId="6548" priority="5308" operator="greaterThan">
      <formula>1</formula>
    </cfRule>
    <cfRule type="cellIs" dxfId="6547" priority="5309" operator="between">
      <formula>0.95</formula>
      <formula>1</formula>
    </cfRule>
    <cfRule type="cellIs" dxfId="6546" priority="5310" stopIfTrue="1" operator="between">
      <formula>0</formula>
      <formula>0.5</formula>
    </cfRule>
  </conditionalFormatting>
  <conditionalFormatting sqref="AC157">
    <cfRule type="cellIs" dxfId="6545" priority="5301" operator="between">
      <formula>0.56251</formula>
      <formula>0.7125</formula>
    </cfRule>
    <cfRule type="cellIs" dxfId="6544" priority="5302" operator="between">
      <formula>0.3751</formula>
      <formula>0.5625</formula>
    </cfRule>
    <cfRule type="cellIs" dxfId="6543" priority="5303" operator="greaterThan">
      <formula>0.751</formula>
    </cfRule>
    <cfRule type="cellIs" dxfId="6542" priority="5304" operator="between">
      <formula>0.71251</formula>
      <formula>0.75</formula>
    </cfRule>
    <cfRule type="cellIs" dxfId="6541" priority="5305" stopIfTrue="1" operator="between">
      <formula>0</formula>
      <formula>0.375</formula>
    </cfRule>
  </conditionalFormatting>
  <conditionalFormatting sqref="R158 Y158 AF158:AI158">
    <cfRule type="cellIs" dxfId="6540" priority="5296" operator="between">
      <formula>0.76</formula>
      <formula>0.95</formula>
    </cfRule>
    <cfRule type="cellIs" dxfId="6539" priority="5297" operator="between">
      <formula>0.51</formula>
      <formula>0.75</formula>
    </cfRule>
    <cfRule type="cellIs" dxfId="6538" priority="5298" operator="greaterThan">
      <formula>1</formula>
    </cfRule>
    <cfRule type="cellIs" dxfId="6537" priority="5299" operator="between">
      <formula>0.95</formula>
      <formula>1</formula>
    </cfRule>
    <cfRule type="cellIs" dxfId="6536" priority="5300" stopIfTrue="1" operator="between">
      <formula>0</formula>
      <formula>0.5</formula>
    </cfRule>
  </conditionalFormatting>
  <conditionalFormatting sqref="T158">
    <cfRule type="cellIs" dxfId="6535" priority="5291" operator="between">
      <formula>0.3751</formula>
      <formula>0.475</formula>
    </cfRule>
    <cfRule type="cellIs" dxfId="6534" priority="5292" operator="between">
      <formula>0.2551</formula>
      <formula>0.375</formula>
    </cfRule>
    <cfRule type="cellIs" dxfId="6533" priority="5293" operator="greaterThan">
      <formula>0.505</formula>
    </cfRule>
    <cfRule type="cellIs" dxfId="6532" priority="5294" operator="between">
      <formula>0.48</formula>
      <formula>0.5</formula>
    </cfRule>
    <cfRule type="cellIs" dxfId="6531" priority="5295" stopIfTrue="1" operator="between">
      <formula>0</formula>
      <formula>0.255</formula>
    </cfRule>
  </conditionalFormatting>
  <conditionalFormatting sqref="AA158:AB158">
    <cfRule type="cellIs" dxfId="6530" priority="5286" operator="between">
      <formula>0.56251</formula>
      <formula>0.7125</formula>
    </cfRule>
    <cfRule type="cellIs" dxfId="6529" priority="5287" operator="between">
      <formula>0.3751</formula>
      <formula>0.5625</formula>
    </cfRule>
    <cfRule type="cellIs" dxfId="6528" priority="5288" operator="greaterThan">
      <formula>0.751</formula>
    </cfRule>
    <cfRule type="cellIs" dxfId="6527" priority="5289" operator="between">
      <formula>0.71251</formula>
      <formula>0.75</formula>
    </cfRule>
    <cfRule type="cellIs" dxfId="6526" priority="5290" stopIfTrue="1" operator="between">
      <formula>0</formula>
      <formula>0.375</formula>
    </cfRule>
  </conditionalFormatting>
  <conditionalFormatting sqref="U158">
    <cfRule type="cellIs" dxfId="6525" priority="5276" operator="between">
      <formula>0.376</formula>
      <formula>0.475</formula>
    </cfRule>
    <cfRule type="cellIs" dxfId="6524" priority="5277" operator="between">
      <formula>0.2551</formula>
      <formula>0.3751</formula>
    </cfRule>
    <cfRule type="cellIs" dxfId="6523" priority="5278" operator="greaterThan">
      <formula>0.505</formula>
    </cfRule>
    <cfRule type="cellIs" dxfId="6522" priority="5279" operator="between">
      <formula>0.48</formula>
      <formula>0.5</formula>
    </cfRule>
    <cfRule type="cellIs" dxfId="6521" priority="5280" stopIfTrue="1" operator="between">
      <formula>0</formula>
      <formula>0.255</formula>
    </cfRule>
  </conditionalFormatting>
  <conditionalFormatting sqref="S158">
    <cfRule type="cellIs" dxfId="6520" priority="5241" operator="between">
      <formula>0.76</formula>
      <formula>0.95</formula>
    </cfRule>
    <cfRule type="cellIs" dxfId="6519" priority="5242" operator="between">
      <formula>0.51</formula>
      <formula>0.75</formula>
    </cfRule>
    <cfRule type="cellIs" dxfId="6518" priority="5243" operator="greaterThan">
      <formula>1</formula>
    </cfRule>
    <cfRule type="cellIs" dxfId="6517" priority="5244" operator="between">
      <formula>0.95</formula>
      <formula>1</formula>
    </cfRule>
    <cfRule type="cellIs" dxfId="6516" priority="5245" stopIfTrue="1" operator="between">
      <formula>0</formula>
      <formula>0.5</formula>
    </cfRule>
  </conditionalFormatting>
  <conditionalFormatting sqref="V158">
    <cfRule type="cellIs" dxfId="6515" priority="5236" operator="between">
      <formula>0.376</formula>
      <formula>0.475</formula>
    </cfRule>
    <cfRule type="cellIs" dxfId="6514" priority="5237" operator="between">
      <formula>0.2551</formula>
      <formula>0.3751</formula>
    </cfRule>
    <cfRule type="cellIs" dxfId="6513" priority="5238" operator="greaterThan">
      <formula>0.505</formula>
    </cfRule>
    <cfRule type="cellIs" dxfId="6512" priority="5239" operator="between">
      <formula>0.48</formula>
      <formula>0.5</formula>
    </cfRule>
    <cfRule type="cellIs" dxfId="6511" priority="5240" stopIfTrue="1" operator="between">
      <formula>0</formula>
      <formula>0.255</formula>
    </cfRule>
  </conditionalFormatting>
  <conditionalFormatting sqref="Z158">
    <cfRule type="cellIs" dxfId="6510" priority="5231" operator="between">
      <formula>0.76</formula>
      <formula>0.95</formula>
    </cfRule>
    <cfRule type="cellIs" dxfId="6509" priority="5232" operator="between">
      <formula>0.51</formula>
      <formula>0.75</formula>
    </cfRule>
    <cfRule type="cellIs" dxfId="6508" priority="5233" operator="greaterThan">
      <formula>1</formula>
    </cfRule>
    <cfRule type="cellIs" dxfId="6507" priority="5234" operator="between">
      <formula>0.95</formula>
      <formula>1</formula>
    </cfRule>
    <cfRule type="cellIs" dxfId="6506" priority="5235" stopIfTrue="1" operator="between">
      <formula>0</formula>
      <formula>0.5</formula>
    </cfRule>
  </conditionalFormatting>
  <conditionalFormatting sqref="AC158">
    <cfRule type="cellIs" dxfId="6505" priority="5226" operator="between">
      <formula>0.56251</formula>
      <formula>0.7125</formula>
    </cfRule>
    <cfRule type="cellIs" dxfId="6504" priority="5227" operator="between">
      <formula>0.3751</formula>
      <formula>0.5625</formula>
    </cfRule>
    <cfRule type="cellIs" dxfId="6503" priority="5228" operator="greaterThan">
      <formula>0.751</formula>
    </cfRule>
    <cfRule type="cellIs" dxfId="6502" priority="5229" operator="between">
      <formula>0.71251</formula>
      <formula>0.75</formula>
    </cfRule>
    <cfRule type="cellIs" dxfId="6501" priority="5230" stopIfTrue="1" operator="between">
      <formula>0</formula>
      <formula>0.375</formula>
    </cfRule>
  </conditionalFormatting>
  <conditionalFormatting sqref="AF216:AI216 R216:S216 Y216:Z216">
    <cfRule type="cellIs" dxfId="6500" priority="5221" operator="between">
      <formula>0.76</formula>
      <formula>0.95</formula>
    </cfRule>
    <cfRule type="cellIs" dxfId="6499" priority="5222" operator="between">
      <formula>0.51</formula>
      <formula>0.75</formula>
    </cfRule>
    <cfRule type="cellIs" dxfId="6498" priority="5223" operator="greaterThan">
      <formula>1</formula>
    </cfRule>
    <cfRule type="cellIs" dxfId="6497" priority="5224" operator="between">
      <formula>0.95</formula>
      <formula>1</formula>
    </cfRule>
    <cfRule type="cellIs" dxfId="6496" priority="5225" stopIfTrue="1" operator="between">
      <formula>0</formula>
      <formula>0.5</formula>
    </cfRule>
  </conditionalFormatting>
  <conditionalFormatting sqref="T216">
    <cfRule type="cellIs" dxfId="6495" priority="5216" operator="between">
      <formula>0.3751</formula>
      <formula>0.475</formula>
    </cfRule>
    <cfRule type="cellIs" dxfId="6494" priority="5217" operator="between">
      <formula>0.2551</formula>
      <formula>0.375</formula>
    </cfRule>
    <cfRule type="cellIs" dxfId="6493" priority="5218" operator="greaterThan">
      <formula>0.505</formula>
    </cfRule>
    <cfRule type="cellIs" dxfId="6492" priority="5219" operator="between">
      <formula>0.48</formula>
      <formula>0.5</formula>
    </cfRule>
    <cfRule type="cellIs" dxfId="6491" priority="5220" stopIfTrue="1" operator="between">
      <formula>0</formula>
      <formula>0.255</formula>
    </cfRule>
  </conditionalFormatting>
  <conditionalFormatting sqref="AA216:AC216">
    <cfRule type="cellIs" dxfId="6490" priority="5211" operator="between">
      <formula>0.56251</formula>
      <formula>0.7125</formula>
    </cfRule>
    <cfRule type="cellIs" dxfId="6489" priority="5212" operator="between">
      <formula>0.3751</formula>
      <formula>0.5625</formula>
    </cfRule>
    <cfRule type="cellIs" dxfId="6488" priority="5213" operator="greaterThan">
      <formula>0.751</formula>
    </cfRule>
    <cfRule type="cellIs" dxfId="6487" priority="5214" operator="between">
      <formula>0.71251</formula>
      <formula>0.75</formula>
    </cfRule>
    <cfRule type="cellIs" dxfId="6486" priority="5215" stopIfTrue="1" operator="between">
      <formula>0</formula>
      <formula>0.375</formula>
    </cfRule>
  </conditionalFormatting>
  <conditionalFormatting sqref="U216:V216">
    <cfRule type="cellIs" dxfId="6485" priority="5201" operator="between">
      <formula>0.376</formula>
      <formula>0.475</formula>
    </cfRule>
    <cfRule type="cellIs" dxfId="6484" priority="5202" operator="between">
      <formula>0.2551</formula>
      <formula>0.3751</formula>
    </cfRule>
    <cfRule type="cellIs" dxfId="6483" priority="5203" operator="greaterThan">
      <formula>0.505</formula>
    </cfRule>
    <cfRule type="cellIs" dxfId="6482" priority="5204" operator="between">
      <formula>0.48</formula>
      <formula>0.5</formula>
    </cfRule>
    <cfRule type="cellIs" dxfId="6481" priority="5205" stopIfTrue="1" operator="between">
      <formula>0</formula>
      <formula>0.255</formula>
    </cfRule>
  </conditionalFormatting>
  <conditionalFormatting sqref="R229:S230 Y229:Z230 AF229:AI230">
    <cfRule type="cellIs" dxfId="6480" priority="4725" operator="between">
      <formula>0.76</formula>
      <formula>0.95</formula>
    </cfRule>
    <cfRule type="cellIs" dxfId="6479" priority="4726" operator="between">
      <formula>0.51</formula>
      <formula>0.75</formula>
    </cfRule>
    <cfRule type="cellIs" dxfId="6478" priority="4727" operator="greaterThan">
      <formula>1</formula>
    </cfRule>
    <cfRule type="cellIs" dxfId="6477" priority="4728" operator="between">
      <formula>0.95</formula>
      <formula>1</formula>
    </cfRule>
    <cfRule type="cellIs" dxfId="6476" priority="4729" stopIfTrue="1" operator="between">
      <formula>0</formula>
      <formula>0.5</formula>
    </cfRule>
  </conditionalFormatting>
  <conditionalFormatting sqref="T229:T230">
    <cfRule type="cellIs" dxfId="6475" priority="4720" operator="between">
      <formula>0.3751</formula>
      <formula>0.475</formula>
    </cfRule>
    <cfRule type="cellIs" dxfId="6474" priority="4721" operator="between">
      <formula>0.2551</formula>
      <formula>0.375</formula>
    </cfRule>
    <cfRule type="cellIs" dxfId="6473" priority="4722" operator="greaterThan">
      <formula>0.505</formula>
    </cfRule>
    <cfRule type="cellIs" dxfId="6472" priority="4723" operator="between">
      <formula>0.48</formula>
      <formula>0.5</formula>
    </cfRule>
    <cfRule type="cellIs" dxfId="6471" priority="4724" stopIfTrue="1" operator="between">
      <formula>0</formula>
      <formula>0.255</formula>
    </cfRule>
  </conditionalFormatting>
  <conditionalFormatting sqref="AA229:AC230">
    <cfRule type="cellIs" dxfId="6470" priority="4715" operator="between">
      <formula>0.56251</formula>
      <formula>0.7125</formula>
    </cfRule>
    <cfRule type="cellIs" dxfId="6469" priority="4716" operator="between">
      <formula>0.3751</formula>
      <formula>0.5625</formula>
    </cfRule>
    <cfRule type="cellIs" dxfId="6468" priority="4717" operator="greaterThan">
      <formula>0.751</formula>
    </cfRule>
    <cfRule type="cellIs" dxfId="6467" priority="4718" operator="between">
      <formula>0.71251</formula>
      <formula>0.75</formula>
    </cfRule>
    <cfRule type="cellIs" dxfId="6466" priority="4719" stopIfTrue="1" operator="between">
      <formula>0</formula>
      <formula>0.375</formula>
    </cfRule>
  </conditionalFormatting>
  <conditionalFormatting sqref="R218:S218 Y218:Z218 AF218:AI218">
    <cfRule type="cellIs" dxfId="6465" priority="5082" operator="between">
      <formula>0.76</formula>
      <formula>0.95</formula>
    </cfRule>
    <cfRule type="cellIs" dxfId="6464" priority="5083" operator="between">
      <formula>0.51</formula>
      <formula>0.75</formula>
    </cfRule>
    <cfRule type="cellIs" dxfId="6463" priority="5084" operator="greaterThan">
      <formula>1</formula>
    </cfRule>
    <cfRule type="cellIs" dxfId="6462" priority="5085" operator="between">
      <formula>0.95</formula>
      <formula>1</formula>
    </cfRule>
    <cfRule type="cellIs" dxfId="6461" priority="5086" stopIfTrue="1" operator="between">
      <formula>0</formula>
      <formula>0.5</formula>
    </cfRule>
  </conditionalFormatting>
  <conditionalFormatting sqref="T218">
    <cfRule type="cellIs" dxfId="6460" priority="5077" operator="between">
      <formula>0.3751</formula>
      <formula>0.475</formula>
    </cfRule>
    <cfRule type="cellIs" dxfId="6459" priority="5078" operator="between">
      <formula>0.2551</formula>
      <formula>0.375</formula>
    </cfRule>
    <cfRule type="cellIs" dxfId="6458" priority="5079" operator="greaterThan">
      <formula>0.505</formula>
    </cfRule>
    <cfRule type="cellIs" dxfId="6457" priority="5080" operator="between">
      <formula>0.48</formula>
      <formula>0.5</formula>
    </cfRule>
    <cfRule type="cellIs" dxfId="6456" priority="5081" stopIfTrue="1" operator="between">
      <formula>0</formula>
      <formula>0.255</formula>
    </cfRule>
  </conditionalFormatting>
  <conditionalFormatting sqref="AA218:AC218">
    <cfRule type="cellIs" dxfId="6455" priority="5072" operator="between">
      <formula>0.56251</formula>
      <formula>0.7125</formula>
    </cfRule>
    <cfRule type="cellIs" dxfId="6454" priority="5073" operator="between">
      <formula>0.3751</formula>
      <formula>0.5625</formula>
    </cfRule>
    <cfRule type="cellIs" dxfId="6453" priority="5074" operator="greaterThan">
      <formula>0.751</formula>
    </cfRule>
    <cfRule type="cellIs" dxfId="6452" priority="5075" operator="between">
      <formula>0.71251</formula>
      <formula>0.75</formula>
    </cfRule>
    <cfRule type="cellIs" dxfId="6451" priority="5076" stopIfTrue="1" operator="between">
      <formula>0</formula>
      <formula>0.375</formula>
    </cfRule>
  </conditionalFormatting>
  <conditionalFormatting sqref="U218:V218">
    <cfRule type="cellIs" dxfId="6450" priority="5062" operator="between">
      <formula>0.376</formula>
      <formula>0.475</formula>
    </cfRule>
    <cfRule type="cellIs" dxfId="6449" priority="5063" operator="between">
      <formula>0.2551</formula>
      <formula>0.3751</formula>
    </cfRule>
    <cfRule type="cellIs" dxfId="6448" priority="5064" operator="greaterThan">
      <formula>0.505</formula>
    </cfRule>
    <cfRule type="cellIs" dxfId="6447" priority="5065" operator="between">
      <formula>0.48</formula>
      <formula>0.5</formula>
    </cfRule>
    <cfRule type="cellIs" dxfId="6446" priority="5066" stopIfTrue="1" operator="between">
      <formula>0</formula>
      <formula>0.255</formula>
    </cfRule>
  </conditionalFormatting>
  <conditionalFormatting sqref="AG218">
    <cfRule type="cellIs" dxfId="6445" priority="5057" operator="between">
      <formula>0.76</formula>
      <formula>0.95</formula>
    </cfRule>
    <cfRule type="cellIs" dxfId="6444" priority="5058" operator="between">
      <formula>0.51</formula>
      <formula>0.75</formula>
    </cfRule>
    <cfRule type="cellIs" dxfId="6443" priority="5059" operator="greaterThan">
      <formula>1</formula>
    </cfRule>
    <cfRule type="cellIs" dxfId="6442" priority="5060" operator="between">
      <formula>0.95</formula>
      <formula>1</formula>
    </cfRule>
    <cfRule type="cellIs" dxfId="6441" priority="5061" stopIfTrue="1" operator="between">
      <formula>0</formula>
      <formula>0.5</formula>
    </cfRule>
  </conditionalFormatting>
  <conditionalFormatting sqref="Y219:Z219 AF219:AI219">
    <cfRule type="cellIs" dxfId="6440" priority="5025" operator="between">
      <formula>0.76</formula>
      <formula>0.95</formula>
    </cfRule>
    <cfRule type="cellIs" dxfId="6439" priority="5026" operator="between">
      <formula>0.51</formula>
      <formula>0.75</formula>
    </cfRule>
    <cfRule type="cellIs" dxfId="6438" priority="5027" operator="greaterThan">
      <formula>1</formula>
    </cfRule>
    <cfRule type="cellIs" dxfId="6437" priority="5028" operator="between">
      <formula>0.95</formula>
      <formula>1</formula>
    </cfRule>
    <cfRule type="cellIs" dxfId="6436" priority="5029" stopIfTrue="1" operator="between">
      <formula>0</formula>
      <formula>0.5</formula>
    </cfRule>
  </conditionalFormatting>
  <conditionalFormatting sqref="AA219:AC219">
    <cfRule type="cellIs" dxfId="6435" priority="5015" operator="between">
      <formula>0.56251</formula>
      <formula>0.7125</formula>
    </cfRule>
    <cfRule type="cellIs" dxfId="6434" priority="5016" operator="between">
      <formula>0.3751</formula>
      <formula>0.5625</formula>
    </cfRule>
    <cfRule type="cellIs" dxfId="6433" priority="5017" operator="greaterThan">
      <formula>0.751</formula>
    </cfRule>
    <cfRule type="cellIs" dxfId="6432" priority="5018" operator="between">
      <formula>0.71251</formula>
      <formula>0.75</formula>
    </cfRule>
    <cfRule type="cellIs" dxfId="6431" priority="5019" stopIfTrue="1" operator="between">
      <formula>0</formula>
      <formula>0.375</formula>
    </cfRule>
  </conditionalFormatting>
  <conditionalFormatting sqref="AG219">
    <cfRule type="cellIs" dxfId="6430" priority="5000" operator="between">
      <formula>0.76</formula>
      <formula>0.95</formula>
    </cfRule>
    <cfRule type="cellIs" dxfId="6429" priority="5001" operator="between">
      <formula>0.51</formula>
      <formula>0.75</formula>
    </cfRule>
    <cfRule type="cellIs" dxfId="6428" priority="5002" operator="greaterThan">
      <formula>1</formula>
    </cfRule>
    <cfRule type="cellIs" dxfId="6427" priority="5003" operator="between">
      <formula>0.95</formula>
      <formula>1</formula>
    </cfRule>
    <cfRule type="cellIs" dxfId="6426" priority="5004" stopIfTrue="1" operator="between">
      <formula>0</formula>
      <formula>0.5</formula>
    </cfRule>
  </conditionalFormatting>
  <conditionalFormatting sqref="R223:S223 Y223:Z223 AF223:AI223 R225:S225 Y225:Z225 AF225:AI225">
    <cfRule type="cellIs" dxfId="6425" priority="4839" operator="between">
      <formula>0.76</formula>
      <formula>0.95</formula>
    </cfRule>
    <cfRule type="cellIs" dxfId="6424" priority="4840" operator="between">
      <formula>0.51</formula>
      <formula>0.75</formula>
    </cfRule>
    <cfRule type="cellIs" dxfId="6423" priority="4841" operator="greaterThan">
      <formula>1</formula>
    </cfRule>
    <cfRule type="cellIs" dxfId="6422" priority="4842" operator="between">
      <formula>0.95</formula>
      <formula>1</formula>
    </cfRule>
    <cfRule type="cellIs" dxfId="6421" priority="4843" stopIfTrue="1" operator="between">
      <formula>0</formula>
      <formula>0.5</formula>
    </cfRule>
  </conditionalFormatting>
  <conditionalFormatting sqref="T223 T225">
    <cfRule type="cellIs" dxfId="6420" priority="4834" operator="between">
      <formula>0.3751</formula>
      <formula>0.475</formula>
    </cfRule>
    <cfRule type="cellIs" dxfId="6419" priority="4835" operator="between">
      <formula>0.2551</formula>
      <formula>0.375</formula>
    </cfRule>
    <cfRule type="cellIs" dxfId="6418" priority="4836" operator="greaterThan">
      <formula>0.505</formula>
    </cfRule>
    <cfRule type="cellIs" dxfId="6417" priority="4837" operator="between">
      <formula>0.48</formula>
      <formula>0.5</formula>
    </cfRule>
    <cfRule type="cellIs" dxfId="6416" priority="4838" stopIfTrue="1" operator="between">
      <formula>0</formula>
      <formula>0.255</formula>
    </cfRule>
  </conditionalFormatting>
  <conditionalFormatting sqref="AA223:AC223 AA225:AC225">
    <cfRule type="cellIs" dxfId="6415" priority="4829" operator="between">
      <formula>0.56251</formula>
      <formula>0.7125</formula>
    </cfRule>
    <cfRule type="cellIs" dxfId="6414" priority="4830" operator="between">
      <formula>0.3751</formula>
      <formula>0.5625</formula>
    </cfRule>
    <cfRule type="cellIs" dxfId="6413" priority="4831" operator="greaterThan">
      <formula>0.751</formula>
    </cfRule>
    <cfRule type="cellIs" dxfId="6412" priority="4832" operator="between">
      <formula>0.71251</formula>
      <formula>0.75</formula>
    </cfRule>
    <cfRule type="cellIs" dxfId="6411" priority="4833" stopIfTrue="1" operator="between">
      <formula>0</formula>
      <formula>0.375</formula>
    </cfRule>
  </conditionalFormatting>
  <conditionalFormatting sqref="U223:V223 U225:V225">
    <cfRule type="cellIs" dxfId="6410" priority="4819" operator="between">
      <formula>0.376</formula>
      <formula>0.475</formula>
    </cfRule>
    <cfRule type="cellIs" dxfId="6409" priority="4820" operator="between">
      <formula>0.2551</formula>
      <formula>0.3751</formula>
    </cfRule>
    <cfRule type="cellIs" dxfId="6408" priority="4821" operator="greaterThan">
      <formula>0.505</formula>
    </cfRule>
    <cfRule type="cellIs" dxfId="6407" priority="4822" operator="between">
      <formula>0.48</formula>
      <formula>0.5</formula>
    </cfRule>
    <cfRule type="cellIs" dxfId="6406" priority="4823" stopIfTrue="1" operator="between">
      <formula>0</formula>
      <formula>0.255</formula>
    </cfRule>
  </conditionalFormatting>
  <conditionalFormatting sqref="AG223 AG225">
    <cfRule type="cellIs" dxfId="6405" priority="4814" operator="between">
      <formula>0.76</formula>
      <formula>0.95</formula>
    </cfRule>
    <cfRule type="cellIs" dxfId="6404" priority="4815" operator="between">
      <formula>0.51</formula>
      <formula>0.75</formula>
    </cfRule>
    <cfRule type="cellIs" dxfId="6403" priority="4816" operator="greaterThan">
      <formula>1</formula>
    </cfRule>
    <cfRule type="cellIs" dxfId="6402" priority="4817" operator="between">
      <formula>0.95</formula>
      <formula>1</formula>
    </cfRule>
    <cfRule type="cellIs" dxfId="6401" priority="4818" stopIfTrue="1" operator="between">
      <formula>0</formula>
      <formula>0.5</formula>
    </cfRule>
  </conditionalFormatting>
  <conditionalFormatting sqref="R226:S226 Y226:Z226 AF226:AI226 AF228:AI228 Y228:Z228 R228:S228">
    <cfRule type="cellIs" dxfId="6400" priority="4782" operator="between">
      <formula>0.76</formula>
      <formula>0.95</formula>
    </cfRule>
    <cfRule type="cellIs" dxfId="6399" priority="4783" operator="between">
      <formula>0.51</formula>
      <formula>0.75</formula>
    </cfRule>
    <cfRule type="cellIs" dxfId="6398" priority="4784" operator="greaterThan">
      <formula>1</formula>
    </cfRule>
    <cfRule type="cellIs" dxfId="6397" priority="4785" operator="between">
      <formula>0.95</formula>
      <formula>1</formula>
    </cfRule>
    <cfRule type="cellIs" dxfId="6396" priority="4786" stopIfTrue="1" operator="between">
      <formula>0</formula>
      <formula>0.5</formula>
    </cfRule>
  </conditionalFormatting>
  <conditionalFormatting sqref="T226 T228">
    <cfRule type="cellIs" dxfId="6395" priority="4777" operator="between">
      <formula>0.3751</formula>
      <formula>0.475</formula>
    </cfRule>
    <cfRule type="cellIs" dxfId="6394" priority="4778" operator="between">
      <formula>0.2551</formula>
      <formula>0.375</formula>
    </cfRule>
    <cfRule type="cellIs" dxfId="6393" priority="4779" operator="greaterThan">
      <formula>0.505</formula>
    </cfRule>
    <cfRule type="cellIs" dxfId="6392" priority="4780" operator="between">
      <formula>0.48</formula>
      <formula>0.5</formula>
    </cfRule>
    <cfRule type="cellIs" dxfId="6391" priority="4781" stopIfTrue="1" operator="between">
      <formula>0</formula>
      <formula>0.255</formula>
    </cfRule>
  </conditionalFormatting>
  <conditionalFormatting sqref="AA226:AC226 AA228:AC228">
    <cfRule type="cellIs" dxfId="6390" priority="4772" operator="between">
      <formula>0.56251</formula>
      <formula>0.7125</formula>
    </cfRule>
    <cfRule type="cellIs" dxfId="6389" priority="4773" operator="between">
      <formula>0.3751</formula>
      <formula>0.5625</formula>
    </cfRule>
    <cfRule type="cellIs" dxfId="6388" priority="4774" operator="greaterThan">
      <formula>0.751</formula>
    </cfRule>
    <cfRule type="cellIs" dxfId="6387" priority="4775" operator="between">
      <formula>0.71251</formula>
      <formula>0.75</formula>
    </cfRule>
    <cfRule type="cellIs" dxfId="6386" priority="4776" stopIfTrue="1" operator="between">
      <formula>0</formula>
      <formula>0.375</formula>
    </cfRule>
  </conditionalFormatting>
  <conditionalFormatting sqref="U226:V226 U228:V228">
    <cfRule type="cellIs" dxfId="6385" priority="4762" operator="between">
      <formula>0.376</formula>
      <formula>0.475</formula>
    </cfRule>
    <cfRule type="cellIs" dxfId="6384" priority="4763" operator="between">
      <formula>0.2551</formula>
      <formula>0.3751</formula>
    </cfRule>
    <cfRule type="cellIs" dxfId="6383" priority="4764" operator="greaterThan">
      <formula>0.505</formula>
    </cfRule>
    <cfRule type="cellIs" dxfId="6382" priority="4765" operator="between">
      <formula>0.48</formula>
      <formula>0.5</formula>
    </cfRule>
    <cfRule type="cellIs" dxfId="6381" priority="4766" stopIfTrue="1" operator="between">
      <formula>0</formula>
      <formula>0.255</formula>
    </cfRule>
  </conditionalFormatting>
  <conditionalFormatting sqref="AG226 AG228">
    <cfRule type="cellIs" dxfId="6380" priority="4757" operator="between">
      <formula>0.76</formula>
      <formula>0.95</formula>
    </cfRule>
    <cfRule type="cellIs" dxfId="6379" priority="4758" operator="between">
      <formula>0.51</formula>
      <formula>0.75</formula>
    </cfRule>
    <cfRule type="cellIs" dxfId="6378" priority="4759" operator="greaterThan">
      <formula>1</formula>
    </cfRule>
    <cfRule type="cellIs" dxfId="6377" priority="4760" operator="between">
      <formula>0.95</formula>
      <formula>1</formula>
    </cfRule>
    <cfRule type="cellIs" dxfId="6376" priority="4761" stopIfTrue="1" operator="between">
      <formula>0</formula>
      <formula>0.5</formula>
    </cfRule>
  </conditionalFormatting>
  <conditionalFormatting sqref="U229:V230">
    <cfRule type="cellIs" dxfId="6375" priority="4705" operator="between">
      <formula>0.376</formula>
      <formula>0.475</formula>
    </cfRule>
    <cfRule type="cellIs" dxfId="6374" priority="4706" operator="between">
      <formula>0.2551</formula>
      <formula>0.3751</formula>
    </cfRule>
    <cfRule type="cellIs" dxfId="6373" priority="4707" operator="greaterThan">
      <formula>0.505</formula>
    </cfRule>
    <cfRule type="cellIs" dxfId="6372" priority="4708" operator="between">
      <formula>0.48</formula>
      <formula>0.5</formula>
    </cfRule>
    <cfRule type="cellIs" dxfId="6371" priority="4709" stopIfTrue="1" operator="between">
      <formula>0</formula>
      <formula>0.255</formula>
    </cfRule>
  </conditionalFormatting>
  <conditionalFormatting sqref="AG229:AG230">
    <cfRule type="cellIs" dxfId="6370" priority="4700" operator="between">
      <formula>0.76</formula>
      <formula>0.95</formula>
    </cfRule>
    <cfRule type="cellIs" dxfId="6369" priority="4701" operator="between">
      <formula>0.51</formula>
      <formula>0.75</formula>
    </cfRule>
    <cfRule type="cellIs" dxfId="6368" priority="4702" operator="greaterThan">
      <formula>1</formula>
    </cfRule>
    <cfRule type="cellIs" dxfId="6367" priority="4703" operator="between">
      <formula>0.95</formula>
      <formula>1</formula>
    </cfRule>
    <cfRule type="cellIs" dxfId="6366" priority="4704" stopIfTrue="1" operator="between">
      <formula>0</formula>
      <formula>0.5</formula>
    </cfRule>
  </conditionalFormatting>
  <conditionalFormatting sqref="M193:M200">
    <cfRule type="cellIs" dxfId="6365" priority="4658" operator="between">
      <formula>0.1876</formula>
      <formula>0.2375</formula>
    </cfRule>
    <cfRule type="cellIs" dxfId="6364" priority="4659" operator="between">
      <formula>0.1251</formula>
      <formula>0.1875</formula>
    </cfRule>
    <cfRule type="cellIs" dxfId="6363" priority="4660" operator="greaterThan">
      <formula>0.25</formula>
    </cfRule>
    <cfRule type="cellIs" dxfId="6362" priority="4661" operator="between">
      <formula>0.2376</formula>
      <formula>0.25</formula>
    </cfRule>
    <cfRule type="cellIs" dxfId="6361" priority="4662" stopIfTrue="1" operator="between">
      <formula>0</formula>
      <formula>0.125</formula>
    </cfRule>
  </conditionalFormatting>
  <conditionalFormatting sqref="N193:N200">
    <cfRule type="cellIs" dxfId="6360" priority="4653" operator="between">
      <formula>0.1876</formula>
      <formula>0.2375</formula>
    </cfRule>
    <cfRule type="cellIs" dxfId="6359" priority="4654" operator="between">
      <formula>0.1251</formula>
      <formula>0.1875</formula>
    </cfRule>
    <cfRule type="cellIs" dxfId="6358" priority="4655" operator="greaterThan">
      <formula>0.25</formula>
    </cfRule>
    <cfRule type="cellIs" dxfId="6357" priority="4656" operator="between">
      <formula>0.2376</formula>
      <formula>0.25</formula>
    </cfRule>
    <cfRule type="cellIs" dxfId="6356" priority="4657" stopIfTrue="1" operator="between">
      <formula>0</formula>
      <formula>0.125</formula>
    </cfRule>
  </conditionalFormatting>
  <conditionalFormatting sqref="O193:O200">
    <cfRule type="cellIs" dxfId="6355" priority="4648" operator="between">
      <formula>0.1876</formula>
      <formula>0.2375</formula>
    </cfRule>
    <cfRule type="cellIs" dxfId="6354" priority="4649" operator="between">
      <formula>0.1251</formula>
      <formula>0.1875</formula>
    </cfRule>
    <cfRule type="cellIs" dxfId="6353" priority="4650" operator="greaterThan">
      <formula>0.25</formula>
    </cfRule>
    <cfRule type="cellIs" dxfId="6352" priority="4651" operator="between">
      <formula>0.2375</formula>
      <formula>0.25</formula>
    </cfRule>
    <cfRule type="cellIs" dxfId="6351" priority="4652" stopIfTrue="1" operator="between">
      <formula>0</formula>
      <formula>0.125</formula>
    </cfRule>
  </conditionalFormatting>
  <conditionalFormatting sqref="N201">
    <cfRule type="cellIs" dxfId="6350" priority="4643" operator="between">
      <formula>0.1876</formula>
      <formula>0.2375</formula>
    </cfRule>
    <cfRule type="cellIs" dxfId="6349" priority="4644" operator="between">
      <formula>0.1251</formula>
      <formula>0.1875</formula>
    </cfRule>
    <cfRule type="cellIs" dxfId="6348" priority="4645" operator="greaterThan">
      <formula>0.25</formula>
    </cfRule>
    <cfRule type="cellIs" dxfId="6347" priority="4646" operator="between">
      <formula>0.2376</formula>
      <formula>0.25</formula>
    </cfRule>
    <cfRule type="cellIs" dxfId="6346" priority="4647" stopIfTrue="1" operator="between">
      <formula>0</formula>
      <formula>0.125</formula>
    </cfRule>
  </conditionalFormatting>
  <conditionalFormatting sqref="AG28 AI28 Z28">
    <cfRule type="cellIs" dxfId="6345" priority="4638" operator="between">
      <formula>0.76</formula>
      <formula>0.95</formula>
    </cfRule>
    <cfRule type="cellIs" dxfId="6344" priority="4639" operator="between">
      <formula>0.51</formula>
      <formula>0.75</formula>
    </cfRule>
    <cfRule type="cellIs" dxfId="6343" priority="4640" operator="greaterThan">
      <formula>1</formula>
    </cfRule>
    <cfRule type="cellIs" dxfId="6342" priority="4641" operator="between">
      <formula>0.95</formula>
      <formula>1</formula>
    </cfRule>
    <cfRule type="cellIs" dxfId="6341" priority="4642" stopIfTrue="1" operator="between">
      <formula>0</formula>
      <formula>0.5</formula>
    </cfRule>
  </conditionalFormatting>
  <conditionalFormatting sqref="R28:S28">
    <cfRule type="cellIs" dxfId="6340" priority="4633" operator="between">
      <formula>0.76</formula>
      <formula>0.95</formula>
    </cfRule>
    <cfRule type="cellIs" dxfId="6339" priority="4634" operator="between">
      <formula>0.51</formula>
      <formula>0.75</formula>
    </cfRule>
    <cfRule type="cellIs" dxfId="6338" priority="4635" operator="greaterThan">
      <formula>1</formula>
    </cfRule>
    <cfRule type="cellIs" dxfId="6337" priority="4636" operator="between">
      <formula>0.95</formula>
      <formula>1</formula>
    </cfRule>
    <cfRule type="cellIs" dxfId="6336" priority="4637" stopIfTrue="1" operator="between">
      <formula>0</formula>
      <formula>0.5</formula>
    </cfRule>
  </conditionalFormatting>
  <conditionalFormatting sqref="Y28">
    <cfRule type="cellIs" dxfId="6335" priority="4628" operator="between">
      <formula>0.76</formula>
      <formula>0.95</formula>
    </cfRule>
    <cfRule type="cellIs" dxfId="6334" priority="4629" operator="between">
      <formula>0.51</formula>
      <formula>0.75</formula>
    </cfRule>
    <cfRule type="cellIs" dxfId="6333" priority="4630" operator="greaterThan">
      <formula>1</formula>
    </cfRule>
    <cfRule type="cellIs" dxfId="6332" priority="4631" operator="between">
      <formula>0.95</formula>
      <formula>1</formula>
    </cfRule>
    <cfRule type="cellIs" dxfId="6331" priority="4632" stopIfTrue="1" operator="between">
      <formula>0</formula>
      <formula>0.5</formula>
    </cfRule>
  </conditionalFormatting>
  <conditionalFormatting sqref="AF28">
    <cfRule type="cellIs" dxfId="6330" priority="4623" operator="between">
      <formula>0.76</formula>
      <formula>0.95</formula>
    </cfRule>
    <cfRule type="cellIs" dxfId="6329" priority="4624" operator="between">
      <formula>0.51</formula>
      <formula>0.75</formula>
    </cfRule>
    <cfRule type="cellIs" dxfId="6328" priority="4625" operator="greaterThan">
      <formula>1</formula>
    </cfRule>
    <cfRule type="cellIs" dxfId="6327" priority="4626" operator="between">
      <formula>0.95</formula>
      <formula>1</formula>
    </cfRule>
    <cfRule type="cellIs" dxfId="6326" priority="4627" stopIfTrue="1" operator="between">
      <formula>0</formula>
      <formula>0.5</formula>
    </cfRule>
  </conditionalFormatting>
  <conditionalFormatting sqref="T28">
    <cfRule type="cellIs" dxfId="6325" priority="4618" operator="between">
      <formula>0.3751</formula>
      <formula>0.475</formula>
    </cfRule>
    <cfRule type="cellIs" dxfId="6324" priority="4619" operator="between">
      <formula>0.2551</formula>
      <formula>0.375</formula>
    </cfRule>
    <cfRule type="cellIs" dxfId="6323" priority="4620" operator="greaterThan">
      <formula>0.505</formula>
    </cfRule>
    <cfRule type="cellIs" dxfId="6322" priority="4621" operator="between">
      <formula>0.48</formula>
      <formula>0.5</formula>
    </cfRule>
    <cfRule type="cellIs" dxfId="6321" priority="4622" stopIfTrue="1" operator="between">
      <formula>0</formula>
      <formula>0.255</formula>
    </cfRule>
  </conditionalFormatting>
  <conditionalFormatting sqref="AA28:AC28">
    <cfRule type="cellIs" dxfId="6320" priority="4613" operator="between">
      <formula>0.56251</formula>
      <formula>0.7125</formula>
    </cfRule>
    <cfRule type="cellIs" dxfId="6319" priority="4614" operator="between">
      <formula>0.3751</formula>
      <formula>0.5625</formula>
    </cfRule>
    <cfRule type="cellIs" dxfId="6318" priority="4615" operator="greaterThan">
      <formula>0.751</formula>
    </cfRule>
    <cfRule type="cellIs" dxfId="6317" priority="4616" operator="between">
      <formula>0.71251</formula>
      <formula>0.75</formula>
    </cfRule>
    <cfRule type="cellIs" dxfId="6316" priority="4617" stopIfTrue="1" operator="between">
      <formula>0</formula>
      <formula>0.375</formula>
    </cfRule>
  </conditionalFormatting>
  <conditionalFormatting sqref="AH28">
    <cfRule type="cellIs" dxfId="6315" priority="4608" operator="between">
      <formula>0.76</formula>
      <formula>0.95</formula>
    </cfRule>
    <cfRule type="cellIs" dxfId="6314" priority="4609" operator="between">
      <formula>0.51</formula>
      <formula>0.75</formula>
    </cfRule>
    <cfRule type="cellIs" dxfId="6313" priority="4610" operator="greaterThan">
      <formula>1</formula>
    </cfRule>
    <cfRule type="cellIs" dxfId="6312" priority="4611" operator="between">
      <formula>0.95</formula>
      <formula>1</formula>
    </cfRule>
    <cfRule type="cellIs" dxfId="6311" priority="4612" stopIfTrue="1" operator="between">
      <formula>0</formula>
      <formula>0.5</formula>
    </cfRule>
  </conditionalFormatting>
  <conditionalFormatting sqref="U28:V28">
    <cfRule type="cellIs" dxfId="6310" priority="4598" operator="between">
      <formula>0.376</formula>
      <formula>0.475</formula>
    </cfRule>
    <cfRule type="cellIs" dxfId="6309" priority="4599" operator="between">
      <formula>0.2551</formula>
      <formula>0.3751</formula>
    </cfRule>
    <cfRule type="cellIs" dxfId="6308" priority="4600" operator="greaterThan">
      <formula>0.505</formula>
    </cfRule>
    <cfRule type="cellIs" dxfId="6307" priority="4601" operator="between">
      <formula>0.48</formula>
      <formula>0.5</formula>
    </cfRule>
    <cfRule type="cellIs" dxfId="6306" priority="4602" stopIfTrue="1" operator="between">
      <formula>0</formula>
      <formula>0.255</formula>
    </cfRule>
  </conditionalFormatting>
  <conditionalFormatting sqref="Y285 AF285 R285 AH285:AI285">
    <cfRule type="cellIs" dxfId="6305" priority="4551" operator="between">
      <formula>0.76</formula>
      <formula>0.95</formula>
    </cfRule>
    <cfRule type="cellIs" dxfId="6304" priority="4552" operator="between">
      <formula>0.51</formula>
      <formula>0.75</formula>
    </cfRule>
    <cfRule type="cellIs" dxfId="6303" priority="4553" operator="greaterThan">
      <formula>1</formula>
    </cfRule>
    <cfRule type="cellIs" dxfId="6302" priority="4554" operator="between">
      <formula>0.95</formula>
      <formula>1</formula>
    </cfRule>
    <cfRule type="cellIs" dxfId="6301" priority="4555" stopIfTrue="1" operator="between">
      <formula>0</formula>
      <formula>0.5</formula>
    </cfRule>
  </conditionalFormatting>
  <conditionalFormatting sqref="T285">
    <cfRule type="cellIs" dxfId="6300" priority="4546" operator="between">
      <formula>0.3751</formula>
      <formula>0.475</formula>
    </cfRule>
    <cfRule type="cellIs" dxfId="6299" priority="4547" operator="between">
      <formula>0.2551</formula>
      <formula>0.375</formula>
    </cfRule>
    <cfRule type="cellIs" dxfId="6298" priority="4548" operator="greaterThan">
      <formula>0.505</formula>
    </cfRule>
    <cfRule type="cellIs" dxfId="6297" priority="4549" operator="between">
      <formula>0.48</formula>
      <formula>0.5</formula>
    </cfRule>
    <cfRule type="cellIs" dxfId="6296" priority="4550" stopIfTrue="1" operator="between">
      <formula>0</formula>
      <formula>0.255</formula>
    </cfRule>
  </conditionalFormatting>
  <conditionalFormatting sqref="AA285:AB285">
    <cfRule type="cellIs" dxfId="6295" priority="4541" operator="between">
      <formula>0.56251</formula>
      <formula>0.7125</formula>
    </cfRule>
    <cfRule type="cellIs" dxfId="6294" priority="4542" operator="between">
      <formula>0.3751</formula>
      <formula>0.5625</formula>
    </cfRule>
    <cfRule type="cellIs" dxfId="6293" priority="4543" operator="greaterThan">
      <formula>0.751</formula>
    </cfRule>
    <cfRule type="cellIs" dxfId="6292" priority="4544" operator="between">
      <formula>0.71251</formula>
      <formula>0.75</formula>
    </cfRule>
    <cfRule type="cellIs" dxfId="6291" priority="4545" stopIfTrue="1" operator="between">
      <formula>0</formula>
      <formula>0.375</formula>
    </cfRule>
  </conditionalFormatting>
  <conditionalFormatting sqref="U285">
    <cfRule type="cellIs" dxfId="6290" priority="4531" operator="between">
      <formula>0.376</formula>
      <formula>0.475</formula>
    </cfRule>
    <cfRule type="cellIs" dxfId="6289" priority="4532" operator="between">
      <formula>0.2551</formula>
      <formula>0.3751</formula>
    </cfRule>
    <cfRule type="cellIs" dxfId="6288" priority="4533" operator="greaterThan">
      <formula>0.505</formula>
    </cfRule>
    <cfRule type="cellIs" dxfId="6287" priority="4534" operator="between">
      <formula>0.48</formula>
      <formula>0.5</formula>
    </cfRule>
    <cfRule type="cellIs" dxfId="6286" priority="4535" stopIfTrue="1" operator="between">
      <formula>0</formula>
      <formula>0.255</formula>
    </cfRule>
  </conditionalFormatting>
  <conditionalFormatting sqref="S285">
    <cfRule type="cellIs" dxfId="6285" priority="4506" operator="between">
      <formula>0.76</formula>
      <formula>0.95</formula>
    </cfRule>
    <cfRule type="cellIs" dxfId="6284" priority="4507" operator="between">
      <formula>0.51</formula>
      <formula>0.75</formula>
    </cfRule>
    <cfRule type="cellIs" dxfId="6283" priority="4508" operator="greaterThan">
      <formula>1</formula>
    </cfRule>
    <cfRule type="cellIs" dxfId="6282" priority="4509" operator="between">
      <formula>0.95</formula>
      <formula>1</formula>
    </cfRule>
    <cfRule type="cellIs" dxfId="6281" priority="4510" stopIfTrue="1" operator="between">
      <formula>0</formula>
      <formula>0.5</formula>
    </cfRule>
  </conditionalFormatting>
  <conditionalFormatting sqref="Z285">
    <cfRule type="cellIs" dxfId="6280" priority="4501" operator="between">
      <formula>0.76</formula>
      <formula>0.95</formula>
    </cfRule>
    <cfRule type="cellIs" dxfId="6279" priority="4502" operator="between">
      <formula>0.51</formula>
      <formula>0.75</formula>
    </cfRule>
    <cfRule type="cellIs" dxfId="6278" priority="4503" operator="greaterThan">
      <formula>1</formula>
    </cfRule>
    <cfRule type="cellIs" dxfId="6277" priority="4504" operator="between">
      <formula>0.95</formula>
      <formula>1</formula>
    </cfRule>
    <cfRule type="cellIs" dxfId="6276" priority="4505" stopIfTrue="1" operator="between">
      <formula>0</formula>
      <formula>0.5</formula>
    </cfRule>
  </conditionalFormatting>
  <conditionalFormatting sqref="AG285">
    <cfRule type="cellIs" dxfId="6275" priority="4496" operator="between">
      <formula>0.76</formula>
      <formula>0.95</formula>
    </cfRule>
    <cfRule type="cellIs" dxfId="6274" priority="4497" operator="between">
      <formula>0.51</formula>
      <formula>0.75</formula>
    </cfRule>
    <cfRule type="cellIs" dxfId="6273" priority="4498" operator="greaterThan">
      <formula>1</formula>
    </cfRule>
    <cfRule type="cellIs" dxfId="6272" priority="4499" operator="between">
      <formula>0.95</formula>
      <formula>1</formula>
    </cfRule>
    <cfRule type="cellIs" dxfId="6271" priority="4500" stopIfTrue="1" operator="between">
      <formula>0</formula>
      <formula>0.5</formula>
    </cfRule>
  </conditionalFormatting>
  <conditionalFormatting sqref="R192 Y192 AF192 AH192:AI192">
    <cfRule type="cellIs" dxfId="6270" priority="4469" operator="between">
      <formula>0.76</formula>
      <formula>0.95</formula>
    </cfRule>
    <cfRule type="cellIs" dxfId="6269" priority="4470" operator="between">
      <formula>0.51</formula>
      <formula>0.75</formula>
    </cfRule>
    <cfRule type="cellIs" dxfId="6268" priority="4471" operator="greaterThan">
      <formula>1</formula>
    </cfRule>
    <cfRule type="cellIs" dxfId="6267" priority="4472" operator="between">
      <formula>0.95</formula>
      <formula>1</formula>
    </cfRule>
    <cfRule type="cellIs" dxfId="6266" priority="4473" stopIfTrue="1" operator="between">
      <formula>0</formula>
      <formula>0.5</formula>
    </cfRule>
  </conditionalFormatting>
  <conditionalFormatting sqref="T192">
    <cfRule type="cellIs" dxfId="6265" priority="4464" operator="between">
      <formula>0.3751</formula>
      <formula>0.475</formula>
    </cfRule>
    <cfRule type="cellIs" dxfId="6264" priority="4465" operator="between">
      <formula>0.2551</formula>
      <formula>0.375</formula>
    </cfRule>
    <cfRule type="cellIs" dxfId="6263" priority="4466" operator="greaterThan">
      <formula>0.505</formula>
    </cfRule>
    <cfRule type="cellIs" dxfId="6262" priority="4467" operator="between">
      <formula>0.48</formula>
      <formula>0.5</formula>
    </cfRule>
    <cfRule type="cellIs" dxfId="6261" priority="4468" stopIfTrue="1" operator="between">
      <formula>0</formula>
      <formula>0.255</formula>
    </cfRule>
  </conditionalFormatting>
  <conditionalFormatting sqref="AA192:AB192">
    <cfRule type="cellIs" dxfId="6260" priority="4459" operator="between">
      <formula>0.56251</formula>
      <formula>0.7125</formula>
    </cfRule>
    <cfRule type="cellIs" dxfId="6259" priority="4460" operator="between">
      <formula>0.3751</formula>
      <formula>0.5625</formula>
    </cfRule>
    <cfRule type="cellIs" dxfId="6258" priority="4461" operator="greaterThan">
      <formula>0.751</formula>
    </cfRule>
    <cfRule type="cellIs" dxfId="6257" priority="4462" operator="between">
      <formula>0.71251</formula>
      <formula>0.75</formula>
    </cfRule>
    <cfRule type="cellIs" dxfId="6256" priority="4463" stopIfTrue="1" operator="between">
      <formula>0</formula>
      <formula>0.375</formula>
    </cfRule>
  </conditionalFormatting>
  <conditionalFormatting sqref="U192">
    <cfRule type="cellIs" dxfId="6255" priority="4454" operator="between">
      <formula>0.376</formula>
      <formula>0.475</formula>
    </cfRule>
    <cfRule type="cellIs" dxfId="6254" priority="4455" operator="between">
      <formula>0.2551</formula>
      <formula>0.3751</formula>
    </cfRule>
    <cfRule type="cellIs" dxfId="6253" priority="4456" operator="greaterThan">
      <formula>0.505</formula>
    </cfRule>
    <cfRule type="cellIs" dxfId="6252" priority="4457" operator="between">
      <formula>0.48</formula>
      <formula>0.5</formula>
    </cfRule>
    <cfRule type="cellIs" dxfId="6251" priority="4458" stopIfTrue="1" operator="between">
      <formula>0</formula>
      <formula>0.255</formula>
    </cfRule>
  </conditionalFormatting>
  <conditionalFormatting sqref="AG192">
    <cfRule type="cellIs" dxfId="6250" priority="4446" operator="between">
      <formula>0.76</formula>
      <formula>0.95</formula>
    </cfRule>
    <cfRule type="cellIs" dxfId="6249" priority="4447" operator="between">
      <formula>0.51</formula>
      <formula>0.75</formula>
    </cfRule>
    <cfRule type="cellIs" dxfId="6248" priority="4448" operator="greaterThan">
      <formula>1</formula>
    </cfRule>
    <cfRule type="cellIs" dxfId="6247" priority="4449" operator="between">
      <formula>0.95</formula>
      <formula>1</formula>
    </cfRule>
    <cfRule type="cellIs" dxfId="6246" priority="4450" stopIfTrue="1" operator="between">
      <formula>0</formula>
      <formula>0.5</formula>
    </cfRule>
  </conditionalFormatting>
  <conditionalFormatting sqref="Z192">
    <cfRule type="cellIs" dxfId="6245" priority="4441" operator="between">
      <formula>0.76</formula>
      <formula>0.95</formula>
    </cfRule>
    <cfRule type="cellIs" dxfId="6244" priority="4442" operator="between">
      <formula>0.51</formula>
      <formula>0.75</formula>
    </cfRule>
    <cfRule type="cellIs" dxfId="6243" priority="4443" operator="greaterThan">
      <formula>1</formula>
    </cfRule>
    <cfRule type="cellIs" dxfId="6242" priority="4444" operator="between">
      <formula>0.95</formula>
      <formula>1</formula>
    </cfRule>
    <cfRule type="cellIs" dxfId="6241" priority="4445" stopIfTrue="1" operator="between">
      <formula>0</formula>
      <formula>0.5</formula>
    </cfRule>
  </conditionalFormatting>
  <conditionalFormatting sqref="AC192">
    <cfRule type="cellIs" dxfId="6240" priority="4436" operator="between">
      <formula>0.56251</formula>
      <formula>0.7125</formula>
    </cfRule>
    <cfRule type="cellIs" dxfId="6239" priority="4437" operator="between">
      <formula>0.3751</formula>
      <formula>0.5625</formula>
    </cfRule>
    <cfRule type="cellIs" dxfId="6238" priority="4438" operator="greaterThan">
      <formula>0.751</formula>
    </cfRule>
    <cfRule type="cellIs" dxfId="6237" priority="4439" operator="between">
      <formula>0.71251</formula>
      <formula>0.75</formula>
    </cfRule>
    <cfRule type="cellIs" dxfId="6236" priority="4440" stopIfTrue="1" operator="between">
      <formula>0</formula>
      <formula>0.375</formula>
    </cfRule>
  </conditionalFormatting>
  <conditionalFormatting sqref="S192">
    <cfRule type="cellIs" dxfId="6235" priority="4431" operator="between">
      <formula>0.76</formula>
      <formula>0.95</formula>
    </cfRule>
    <cfRule type="cellIs" dxfId="6234" priority="4432" operator="between">
      <formula>0.51</formula>
      <formula>0.75</formula>
    </cfRule>
    <cfRule type="cellIs" dxfId="6233" priority="4433" operator="greaterThan">
      <formula>1</formula>
    </cfRule>
    <cfRule type="cellIs" dxfId="6232" priority="4434" operator="between">
      <formula>0.95</formula>
      <formula>1</formula>
    </cfRule>
    <cfRule type="cellIs" dxfId="6231" priority="4435" stopIfTrue="1" operator="between">
      <formula>0</formula>
      <formula>0.5</formula>
    </cfRule>
  </conditionalFormatting>
  <conditionalFormatting sqref="V192">
    <cfRule type="cellIs" dxfId="6230" priority="4426" operator="between">
      <formula>0.376</formula>
      <formula>0.475</formula>
    </cfRule>
    <cfRule type="cellIs" dxfId="6229" priority="4427" operator="between">
      <formula>0.2551</formula>
      <formula>0.3751</formula>
    </cfRule>
    <cfRule type="cellIs" dxfId="6228" priority="4428" operator="greaterThan">
      <formula>0.505</formula>
    </cfRule>
    <cfRule type="cellIs" dxfId="6227" priority="4429" operator="between">
      <formula>0.48</formula>
      <formula>0.5</formula>
    </cfRule>
    <cfRule type="cellIs" dxfId="6226" priority="4430" stopIfTrue="1" operator="between">
      <formula>0</formula>
      <formula>0.255</formula>
    </cfRule>
  </conditionalFormatting>
  <conditionalFormatting sqref="M192">
    <cfRule type="cellIs" dxfId="6225" priority="4416" operator="between">
      <formula>0.1876</formula>
      <formula>0.2375</formula>
    </cfRule>
    <cfRule type="cellIs" dxfId="6224" priority="4417" operator="between">
      <formula>0.1251</formula>
      <formula>0.1875</formula>
    </cfRule>
    <cfRule type="cellIs" dxfId="6223" priority="4418" operator="greaterThan">
      <formula>0.25</formula>
    </cfRule>
    <cfRule type="cellIs" dxfId="6222" priority="4419" operator="between">
      <formula>0.2376</formula>
      <formula>0.25</formula>
    </cfRule>
    <cfRule type="cellIs" dxfId="6221" priority="4420" stopIfTrue="1" operator="between">
      <formula>0</formula>
      <formula>0.125</formula>
    </cfRule>
  </conditionalFormatting>
  <conditionalFormatting sqref="N192">
    <cfRule type="cellIs" dxfId="6220" priority="4411" operator="between">
      <formula>0.1876</formula>
      <formula>0.2375</formula>
    </cfRule>
    <cfRule type="cellIs" dxfId="6219" priority="4412" operator="between">
      <formula>0.1251</formula>
      <formula>0.1875</formula>
    </cfRule>
    <cfRule type="cellIs" dxfId="6218" priority="4413" operator="greaterThan">
      <formula>0.25</formula>
    </cfRule>
    <cfRule type="cellIs" dxfId="6217" priority="4414" operator="between">
      <formula>0.2376</formula>
      <formula>0.25</formula>
    </cfRule>
    <cfRule type="cellIs" dxfId="6216" priority="4415" stopIfTrue="1" operator="between">
      <formula>0</formula>
      <formula>0.125</formula>
    </cfRule>
  </conditionalFormatting>
  <conditionalFormatting sqref="O192">
    <cfRule type="cellIs" dxfId="6215" priority="4406" operator="between">
      <formula>0.1876</formula>
      <formula>0.2375</formula>
    </cfRule>
    <cfRule type="cellIs" dxfId="6214" priority="4407" operator="between">
      <formula>0.1251</formula>
      <formula>0.1875</formula>
    </cfRule>
    <cfRule type="cellIs" dxfId="6213" priority="4408" operator="greaterThan">
      <formula>0.25</formula>
    </cfRule>
    <cfRule type="cellIs" dxfId="6212" priority="4409" operator="between">
      <formula>0.2375</formula>
      <formula>0.25</formula>
    </cfRule>
    <cfRule type="cellIs" dxfId="6211" priority="4410" stopIfTrue="1" operator="between">
      <formula>0</formula>
      <formula>0.125</formula>
    </cfRule>
  </conditionalFormatting>
  <conditionalFormatting sqref="R190 Y190 AF190 AH190:AI190">
    <cfRule type="cellIs" dxfId="6210" priority="4401" operator="between">
      <formula>0.76</formula>
      <formula>0.95</formula>
    </cfRule>
    <cfRule type="cellIs" dxfId="6209" priority="4402" operator="between">
      <formula>0.51</formula>
      <formula>0.75</formula>
    </cfRule>
    <cfRule type="cellIs" dxfId="6208" priority="4403" operator="greaterThan">
      <formula>1</formula>
    </cfRule>
    <cfRule type="cellIs" dxfId="6207" priority="4404" operator="between">
      <formula>0.95</formula>
      <formula>1</formula>
    </cfRule>
    <cfRule type="cellIs" dxfId="6206" priority="4405" stopIfTrue="1" operator="between">
      <formula>0</formula>
      <formula>0.5</formula>
    </cfRule>
  </conditionalFormatting>
  <conditionalFormatting sqref="T190">
    <cfRule type="cellIs" dxfId="6205" priority="4396" operator="between">
      <formula>0.3751</formula>
      <formula>0.475</formula>
    </cfRule>
    <cfRule type="cellIs" dxfId="6204" priority="4397" operator="between">
      <formula>0.2551</formula>
      <formula>0.375</formula>
    </cfRule>
    <cfRule type="cellIs" dxfId="6203" priority="4398" operator="greaterThan">
      <formula>0.505</formula>
    </cfRule>
    <cfRule type="cellIs" dxfId="6202" priority="4399" operator="between">
      <formula>0.48</formula>
      <formula>0.5</formula>
    </cfRule>
    <cfRule type="cellIs" dxfId="6201" priority="4400" stopIfTrue="1" operator="between">
      <formula>0</formula>
      <formula>0.255</formula>
    </cfRule>
  </conditionalFormatting>
  <conditionalFormatting sqref="AA190:AB190">
    <cfRule type="cellIs" dxfId="6200" priority="4391" operator="between">
      <formula>0.56251</formula>
      <formula>0.7125</formula>
    </cfRule>
    <cfRule type="cellIs" dxfId="6199" priority="4392" operator="between">
      <formula>0.3751</formula>
      <formula>0.5625</formula>
    </cfRule>
    <cfRule type="cellIs" dxfId="6198" priority="4393" operator="greaterThan">
      <formula>0.751</formula>
    </cfRule>
    <cfRule type="cellIs" dxfId="6197" priority="4394" operator="between">
      <formula>0.71251</formula>
      <formula>0.75</formula>
    </cfRule>
    <cfRule type="cellIs" dxfId="6196" priority="4395" stopIfTrue="1" operator="between">
      <formula>0</formula>
      <formula>0.375</formula>
    </cfRule>
  </conditionalFormatting>
  <conditionalFormatting sqref="U190">
    <cfRule type="cellIs" dxfId="6195" priority="4386" operator="between">
      <formula>0.376</formula>
      <formula>0.475</formula>
    </cfRule>
    <cfRule type="cellIs" dxfId="6194" priority="4387" operator="between">
      <formula>0.2551</formula>
      <formula>0.3751</formula>
    </cfRule>
    <cfRule type="cellIs" dxfId="6193" priority="4388" operator="greaterThan">
      <formula>0.505</formula>
    </cfRule>
    <cfRule type="cellIs" dxfId="6192" priority="4389" operator="between">
      <formula>0.48</formula>
      <formula>0.5</formula>
    </cfRule>
    <cfRule type="cellIs" dxfId="6191" priority="4390" stopIfTrue="1" operator="between">
      <formula>0</formula>
      <formula>0.255</formula>
    </cfRule>
  </conditionalFormatting>
  <conditionalFormatting sqref="Z190">
    <cfRule type="cellIs" dxfId="6190" priority="4373" operator="between">
      <formula>0.76</formula>
      <formula>0.95</formula>
    </cfRule>
    <cfRule type="cellIs" dxfId="6189" priority="4374" operator="between">
      <formula>0.51</formula>
      <formula>0.75</formula>
    </cfRule>
    <cfRule type="cellIs" dxfId="6188" priority="4375" operator="greaterThan">
      <formula>1</formula>
    </cfRule>
    <cfRule type="cellIs" dxfId="6187" priority="4376" operator="between">
      <formula>0.95</formula>
      <formula>1</formula>
    </cfRule>
    <cfRule type="cellIs" dxfId="6186" priority="4377" stopIfTrue="1" operator="between">
      <formula>0</formula>
      <formula>0.5</formula>
    </cfRule>
  </conditionalFormatting>
  <conditionalFormatting sqref="AC190">
    <cfRule type="cellIs" dxfId="6185" priority="4368" operator="between">
      <formula>0.56251</formula>
      <formula>0.7125</formula>
    </cfRule>
    <cfRule type="cellIs" dxfId="6184" priority="4369" operator="between">
      <formula>0.3751</formula>
      <formula>0.5625</formula>
    </cfRule>
    <cfRule type="cellIs" dxfId="6183" priority="4370" operator="greaterThan">
      <formula>0.751</formula>
    </cfRule>
    <cfRule type="cellIs" dxfId="6182" priority="4371" operator="between">
      <formula>0.71251</formula>
      <formula>0.75</formula>
    </cfRule>
    <cfRule type="cellIs" dxfId="6181" priority="4372" stopIfTrue="1" operator="between">
      <formula>0</formula>
      <formula>0.375</formula>
    </cfRule>
  </conditionalFormatting>
  <conditionalFormatting sqref="M190">
    <cfRule type="cellIs" dxfId="6180" priority="4348" operator="between">
      <formula>0.1876</formula>
      <formula>0.2375</formula>
    </cfRule>
    <cfRule type="cellIs" dxfId="6179" priority="4349" operator="between">
      <formula>0.1251</formula>
      <formula>0.1875</formula>
    </cfRule>
    <cfRule type="cellIs" dxfId="6178" priority="4350" operator="greaterThan">
      <formula>0.25</formula>
    </cfRule>
    <cfRule type="cellIs" dxfId="6177" priority="4351" operator="between">
      <formula>0.2376</formula>
      <formula>0.25</formula>
    </cfRule>
    <cfRule type="cellIs" dxfId="6176" priority="4352" stopIfTrue="1" operator="between">
      <formula>0</formula>
      <formula>0.125</formula>
    </cfRule>
  </conditionalFormatting>
  <conditionalFormatting sqref="N190">
    <cfRule type="cellIs" dxfId="6175" priority="4343" operator="between">
      <formula>0.1876</formula>
      <formula>0.2375</formula>
    </cfRule>
    <cfRule type="cellIs" dxfId="6174" priority="4344" operator="between">
      <formula>0.1251</formula>
      <formula>0.1875</formula>
    </cfRule>
    <cfRule type="cellIs" dxfId="6173" priority="4345" operator="greaterThan">
      <formula>0.25</formula>
    </cfRule>
    <cfRule type="cellIs" dxfId="6172" priority="4346" operator="between">
      <formula>0.2376</formula>
      <formula>0.25</formula>
    </cfRule>
    <cfRule type="cellIs" dxfId="6171" priority="4347" stopIfTrue="1" operator="between">
      <formula>0</formula>
      <formula>0.125</formula>
    </cfRule>
  </conditionalFormatting>
  <conditionalFormatting sqref="O190">
    <cfRule type="cellIs" dxfId="6170" priority="4338" operator="between">
      <formula>0.1876</formula>
      <formula>0.2375</formula>
    </cfRule>
    <cfRule type="cellIs" dxfId="6169" priority="4339" operator="between">
      <formula>0.1251</formula>
      <formula>0.1875</formula>
    </cfRule>
    <cfRule type="cellIs" dxfId="6168" priority="4340" operator="greaterThan">
      <formula>0.25</formula>
    </cfRule>
    <cfRule type="cellIs" dxfId="6167" priority="4341" operator="between">
      <formula>0.2375</formula>
      <formula>0.25</formula>
    </cfRule>
    <cfRule type="cellIs" dxfId="6166" priority="4342" stopIfTrue="1" operator="between">
      <formula>0</formula>
      <formula>0.125</formula>
    </cfRule>
  </conditionalFormatting>
  <conditionalFormatting sqref="S190">
    <cfRule type="cellIs" dxfId="6165" priority="4333" operator="between">
      <formula>0.76</formula>
      <formula>0.95</formula>
    </cfRule>
    <cfRule type="cellIs" dxfId="6164" priority="4334" operator="between">
      <formula>0.51</formula>
      <formula>0.75</formula>
    </cfRule>
    <cfRule type="cellIs" dxfId="6163" priority="4335" operator="greaterThan">
      <formula>1</formula>
    </cfRule>
    <cfRule type="cellIs" dxfId="6162" priority="4336" operator="between">
      <formula>0.95</formula>
      <formula>1</formula>
    </cfRule>
    <cfRule type="cellIs" dxfId="6161" priority="4337" stopIfTrue="1" operator="between">
      <formula>0</formula>
      <formula>0.5</formula>
    </cfRule>
  </conditionalFormatting>
  <conditionalFormatting sqref="V190">
    <cfRule type="cellIs" dxfId="6160" priority="4328" operator="between">
      <formula>0.376</formula>
      <formula>0.475</formula>
    </cfRule>
    <cfRule type="cellIs" dxfId="6159" priority="4329" operator="between">
      <formula>0.2551</formula>
      <formula>0.3751</formula>
    </cfRule>
    <cfRule type="cellIs" dxfId="6158" priority="4330" operator="greaterThan">
      <formula>0.505</formula>
    </cfRule>
    <cfRule type="cellIs" dxfId="6157" priority="4331" operator="between">
      <formula>0.48</formula>
      <formula>0.5</formula>
    </cfRule>
    <cfRule type="cellIs" dxfId="6156" priority="4332" stopIfTrue="1" operator="between">
      <formula>0</formula>
      <formula>0.255</formula>
    </cfRule>
  </conditionalFormatting>
  <conditionalFormatting sqref="AG190">
    <cfRule type="cellIs" dxfId="6155" priority="4323" operator="between">
      <formula>0.76</formula>
      <formula>0.95</formula>
    </cfRule>
    <cfRule type="cellIs" dxfId="6154" priority="4324" operator="between">
      <formula>0.51</formula>
      <formula>0.75</formula>
    </cfRule>
    <cfRule type="cellIs" dxfId="6153" priority="4325" operator="greaterThan">
      <formula>1</formula>
    </cfRule>
    <cfRule type="cellIs" dxfId="6152" priority="4326" operator="between">
      <formula>0.95</formula>
      <formula>1</formula>
    </cfRule>
    <cfRule type="cellIs" dxfId="6151" priority="4327" stopIfTrue="1" operator="between">
      <formula>0</formula>
      <formula>0.5</formula>
    </cfRule>
  </conditionalFormatting>
  <conditionalFormatting sqref="O15">
    <cfRule type="cellIs" dxfId="6150" priority="4250" operator="between">
      <formula>0.1876</formula>
      <formula>0.2375</formula>
    </cfRule>
    <cfRule type="cellIs" dxfId="6149" priority="4251" operator="between">
      <formula>0.1251</formula>
      <formula>0.1875</formula>
    </cfRule>
    <cfRule type="cellIs" dxfId="6148" priority="4252" operator="greaterThan">
      <formula>0.25</formula>
    </cfRule>
    <cfRule type="cellIs" dxfId="6147" priority="4253" operator="between">
      <formula>0.2376</formula>
      <formula>0.25</formula>
    </cfRule>
    <cfRule type="cellIs" dxfId="6146" priority="4254" stopIfTrue="1" operator="between">
      <formula>0</formula>
      <formula>0.125</formula>
    </cfRule>
  </conditionalFormatting>
  <conditionalFormatting sqref="N16">
    <cfRule type="cellIs" dxfId="6145" priority="4245" operator="between">
      <formula>0.1876</formula>
      <formula>0.2375</formula>
    </cfRule>
    <cfRule type="cellIs" dxfId="6144" priority="4246" operator="between">
      <formula>0.1251</formula>
      <formula>0.1875</formula>
    </cfRule>
    <cfRule type="cellIs" dxfId="6143" priority="4247" operator="greaterThan">
      <formula>0.25</formula>
    </cfRule>
    <cfRule type="cellIs" dxfId="6142" priority="4248" operator="between">
      <formula>0.2376</formula>
      <formula>0.25</formula>
    </cfRule>
    <cfRule type="cellIs" dxfId="6141" priority="4249" stopIfTrue="1" operator="between">
      <formula>0</formula>
      <formula>0.125</formula>
    </cfRule>
  </conditionalFormatting>
  <conditionalFormatting sqref="O16">
    <cfRule type="cellIs" dxfId="6140" priority="4240" operator="between">
      <formula>0.1876</formula>
      <formula>0.2375</formula>
    </cfRule>
    <cfRule type="cellIs" dxfId="6139" priority="4241" operator="between">
      <formula>0.1251</formula>
      <formula>0.1875</formula>
    </cfRule>
    <cfRule type="cellIs" dxfId="6138" priority="4242" operator="greaterThan">
      <formula>0.25</formula>
    </cfRule>
    <cfRule type="cellIs" dxfId="6137" priority="4243" operator="between">
      <formula>0.2376</formula>
      <formula>0.25</formula>
    </cfRule>
    <cfRule type="cellIs" dxfId="6136" priority="4244" stopIfTrue="1" operator="between">
      <formula>0</formula>
      <formula>0.125</formula>
    </cfRule>
  </conditionalFormatting>
  <conditionalFormatting sqref="N17:N18 N22:N29 N84:N97 N47 N49 N53 N56 N58:N60 N65:N67 N31">
    <cfRule type="cellIs" dxfId="6135" priority="4235" operator="between">
      <formula>0.1876</formula>
      <formula>0.2375</formula>
    </cfRule>
    <cfRule type="cellIs" dxfId="6134" priority="4236" operator="between">
      <formula>0.1251</formula>
      <formula>0.1875</formula>
    </cfRule>
    <cfRule type="cellIs" dxfId="6133" priority="4237" operator="greaterThan">
      <formula>0.25</formula>
    </cfRule>
    <cfRule type="cellIs" dxfId="6132" priority="4238" operator="between">
      <formula>0.2376</formula>
      <formula>0.25</formula>
    </cfRule>
    <cfRule type="cellIs" dxfId="6131" priority="4239" stopIfTrue="1" operator="between">
      <formula>0</formula>
      <formula>0.125</formula>
    </cfRule>
  </conditionalFormatting>
  <conditionalFormatting sqref="O17:O18 O22:O29 O47 O49 O53 O56 O58:O60 O65:O67 O31 O84:O97">
    <cfRule type="cellIs" dxfId="6130" priority="4230" operator="between">
      <formula>0.1876</formula>
      <formula>0.2375</formula>
    </cfRule>
    <cfRule type="cellIs" dxfId="6129" priority="4231" operator="between">
      <formula>0.1251</formula>
      <formula>0.1875</formula>
    </cfRule>
    <cfRule type="cellIs" dxfId="6128" priority="4232" operator="greaterThan">
      <formula>0.25</formula>
    </cfRule>
    <cfRule type="cellIs" dxfId="6127" priority="4233" operator="between">
      <formula>0.2376</formula>
      <formula>0.25</formula>
    </cfRule>
    <cfRule type="cellIs" dxfId="6126" priority="4234" stopIfTrue="1" operator="between">
      <formula>0</formula>
      <formula>0.125</formula>
    </cfRule>
  </conditionalFormatting>
  <conditionalFormatting sqref="M16">
    <cfRule type="cellIs" dxfId="6125" priority="4225" operator="between">
      <formula>0.1876</formula>
      <formula>0.2375</formula>
    </cfRule>
    <cfRule type="cellIs" dxfId="6124" priority="4226" operator="between">
      <formula>0.1251</formula>
      <formula>0.1875</formula>
    </cfRule>
    <cfRule type="cellIs" dxfId="6123" priority="4227" operator="greaterThan">
      <formula>0.25</formula>
    </cfRule>
    <cfRule type="cellIs" dxfId="6122" priority="4228" operator="between">
      <formula>0.2375</formula>
      <formula>0.25</formula>
    </cfRule>
    <cfRule type="cellIs" dxfId="6121" priority="4229" stopIfTrue="1" operator="between">
      <formula>0</formula>
      <formula>0.125</formula>
    </cfRule>
  </conditionalFormatting>
  <conditionalFormatting sqref="M17:M18 M22:M29 M84:M97 M47 M49 M53 M56 M58:M60 M65:M67 M31">
    <cfRule type="cellIs" dxfId="6120" priority="4220" operator="between">
      <formula>0.1876</formula>
      <formula>0.2375</formula>
    </cfRule>
    <cfRule type="cellIs" dxfId="6119" priority="4221" operator="between">
      <formula>0.1251</formula>
      <formula>0.1875</formula>
    </cfRule>
    <cfRule type="cellIs" dxfId="6118" priority="4222" operator="greaterThan">
      <formula>0.25</formula>
    </cfRule>
    <cfRule type="cellIs" dxfId="6117" priority="4223" operator="between">
      <formula>0.2375</formula>
      <formula>0.25</formula>
    </cfRule>
    <cfRule type="cellIs" dxfId="6116" priority="4224" stopIfTrue="1" operator="between">
      <formula>0</formula>
      <formula>0.125</formula>
    </cfRule>
  </conditionalFormatting>
  <conditionalFormatting sqref="L130">
    <cfRule type="cellIs" dxfId="6115" priority="4215" operator="between">
      <formula>0.76</formula>
      <formula>0.95</formula>
    </cfRule>
    <cfRule type="cellIs" dxfId="6114" priority="4216" operator="between">
      <formula>0.51</formula>
      <formula>0.75</formula>
    </cfRule>
    <cfRule type="cellIs" dxfId="6113" priority="4217" operator="greaterThan">
      <formula>1</formula>
    </cfRule>
    <cfRule type="cellIs" dxfId="6112" priority="4218" operator="between">
      <formula>0.96</formula>
      <formula>1</formula>
    </cfRule>
    <cfRule type="cellIs" dxfId="6111" priority="4219" stopIfTrue="1" operator="between">
      <formula>0</formula>
      <formula>0.5</formula>
    </cfRule>
  </conditionalFormatting>
  <conditionalFormatting sqref="K16">
    <cfRule type="cellIs" dxfId="6110" priority="4210" operator="between">
      <formula>0.76</formula>
      <formula>0.95</formula>
    </cfRule>
    <cfRule type="cellIs" dxfId="6109" priority="4211" operator="between">
      <formula>0.51</formula>
      <formula>0.75</formula>
    </cfRule>
    <cfRule type="cellIs" dxfId="6108" priority="4212" operator="greaterThan">
      <formula>1</formula>
    </cfRule>
    <cfRule type="cellIs" dxfId="6107" priority="4213" operator="between">
      <formula>0.96</formula>
      <formula>1</formula>
    </cfRule>
    <cfRule type="cellIs" dxfId="6106" priority="4214" stopIfTrue="1" operator="between">
      <formula>0</formula>
      <formula>0.5</formula>
    </cfRule>
  </conditionalFormatting>
  <conditionalFormatting sqref="L16">
    <cfRule type="cellIs" dxfId="6105" priority="4205" operator="between">
      <formula>0.76</formula>
      <formula>0.95</formula>
    </cfRule>
    <cfRule type="cellIs" dxfId="6104" priority="4206" operator="between">
      <formula>0.51</formula>
      <formula>0.75</formula>
    </cfRule>
    <cfRule type="cellIs" dxfId="6103" priority="4207" operator="greaterThan">
      <formula>1</formula>
    </cfRule>
    <cfRule type="cellIs" dxfId="6102" priority="4208" operator="between">
      <formula>0.96</formula>
      <formula>1</formula>
    </cfRule>
    <cfRule type="cellIs" dxfId="6101" priority="4209" stopIfTrue="1" operator="between">
      <formula>0</formula>
      <formula>0.5</formula>
    </cfRule>
  </conditionalFormatting>
  <conditionalFormatting sqref="K17:K18 K22:K29 K47 K49 K53 K58:K60 K65:K67 K84:K97 K31">
    <cfRule type="cellIs" dxfId="6100" priority="4200" operator="between">
      <formula>0.76</formula>
      <formula>0.95</formula>
    </cfRule>
    <cfRule type="cellIs" dxfId="6099" priority="4201" operator="between">
      <formula>0.51</formula>
      <formula>0.75</formula>
    </cfRule>
    <cfRule type="cellIs" dxfId="6098" priority="4202" operator="greaterThan">
      <formula>1</formula>
    </cfRule>
    <cfRule type="cellIs" dxfId="6097" priority="4203" operator="between">
      <formula>0.96</formula>
      <formula>1</formula>
    </cfRule>
    <cfRule type="cellIs" dxfId="6096" priority="4204" stopIfTrue="1" operator="between">
      <formula>0</formula>
      <formula>0.5</formula>
    </cfRule>
  </conditionalFormatting>
  <conditionalFormatting sqref="L17:L18 L22:L29 L47 L49 L53 L58:L60 L65:L67 L31 L84:L97">
    <cfRule type="cellIs" dxfId="6095" priority="4195" operator="between">
      <formula>0.76</formula>
      <formula>0.95</formula>
    </cfRule>
    <cfRule type="cellIs" dxfId="6094" priority="4196" operator="between">
      <formula>0.51</formula>
      <formula>0.75</formula>
    </cfRule>
    <cfRule type="cellIs" dxfId="6093" priority="4197" operator="greaterThan">
      <formula>1</formula>
    </cfRule>
    <cfRule type="cellIs" dxfId="6092" priority="4198" operator="between">
      <formula>0.96</formula>
      <formula>1</formula>
    </cfRule>
    <cfRule type="cellIs" dxfId="6091" priority="4199" stopIfTrue="1" operator="between">
      <formula>0</formula>
      <formula>0.5</formula>
    </cfRule>
  </conditionalFormatting>
  <conditionalFormatting sqref="L134">
    <cfRule type="cellIs" dxfId="6090" priority="4190" operator="between">
      <formula>0.76</formula>
      <formula>0.95</formula>
    </cfRule>
    <cfRule type="cellIs" dxfId="6089" priority="4191" operator="between">
      <formula>0.51</formula>
      <formula>0.75</formula>
    </cfRule>
    <cfRule type="cellIs" dxfId="6088" priority="4192" operator="greaterThan">
      <formula>1</formula>
    </cfRule>
    <cfRule type="cellIs" dxfId="6087" priority="4193" operator="between">
      <formula>0.96</formula>
      <formula>1</formula>
    </cfRule>
    <cfRule type="cellIs" dxfId="6086" priority="4194" stopIfTrue="1" operator="between">
      <formula>0</formula>
      <formula>0.5</formula>
    </cfRule>
  </conditionalFormatting>
  <conditionalFormatting sqref="M204">
    <cfRule type="cellIs" dxfId="6085" priority="4170" operator="between">
      <formula>0.1876</formula>
      <formula>0.2375</formula>
    </cfRule>
    <cfRule type="cellIs" dxfId="6084" priority="4171" operator="between">
      <formula>0.1251</formula>
      <formula>0.1875</formula>
    </cfRule>
    <cfRule type="cellIs" dxfId="6083" priority="4172" operator="greaterThan">
      <formula>0.25</formula>
    </cfRule>
    <cfRule type="cellIs" dxfId="6082" priority="4173" operator="between">
      <formula>0.2376</formula>
      <formula>0.25</formula>
    </cfRule>
    <cfRule type="cellIs" dxfId="6081" priority="4174" stopIfTrue="1" operator="between">
      <formula>0</formula>
      <formula>0.125</formula>
    </cfRule>
  </conditionalFormatting>
  <conditionalFormatting sqref="N204">
    <cfRule type="cellIs" dxfId="6080" priority="4165" operator="between">
      <formula>0.1876</formula>
      <formula>0.2375</formula>
    </cfRule>
    <cfRule type="cellIs" dxfId="6079" priority="4166" operator="between">
      <formula>0.1251</formula>
      <formula>0.1875</formula>
    </cfRule>
    <cfRule type="cellIs" dxfId="6078" priority="4167" operator="greaterThan">
      <formula>0.25</formula>
    </cfRule>
    <cfRule type="cellIs" dxfId="6077" priority="4168" operator="between">
      <formula>0.2376</formula>
      <formula>0.25</formula>
    </cfRule>
    <cfRule type="cellIs" dxfId="6076" priority="4169" stopIfTrue="1" operator="between">
      <formula>0</formula>
      <formula>0.125</formula>
    </cfRule>
  </conditionalFormatting>
  <conditionalFormatting sqref="O204">
    <cfRule type="cellIs" dxfId="6075" priority="4160" operator="between">
      <formula>0.1876</formula>
      <formula>0.2375</formula>
    </cfRule>
    <cfRule type="cellIs" dxfId="6074" priority="4161" operator="between">
      <formula>0.1251</formula>
      <formula>0.1875</formula>
    </cfRule>
    <cfRule type="cellIs" dxfId="6073" priority="4162" operator="greaterThan">
      <formula>0.25</formula>
    </cfRule>
    <cfRule type="cellIs" dxfId="6072" priority="4163" operator="between">
      <formula>0.2375</formula>
      <formula>0.25</formula>
    </cfRule>
    <cfRule type="cellIs" dxfId="6071" priority="4164" stopIfTrue="1" operator="between">
      <formula>0</formula>
      <formula>0.125</formula>
    </cfRule>
  </conditionalFormatting>
  <conditionalFormatting sqref="L204">
    <cfRule type="cellIs" dxfId="6070" priority="4155" operator="between">
      <formula>0.76</formula>
      <formula>0.95</formula>
    </cfRule>
    <cfRule type="cellIs" dxfId="6069" priority="4156" operator="between">
      <formula>0.51</formula>
      <formula>0.75</formula>
    </cfRule>
    <cfRule type="cellIs" dxfId="6068" priority="4157" operator="greaterThan">
      <formula>1</formula>
    </cfRule>
    <cfRule type="cellIs" dxfId="6067" priority="4158" operator="between">
      <formula>0.96</formula>
      <formula>1</formula>
    </cfRule>
    <cfRule type="cellIs" dxfId="6066" priority="4159" stopIfTrue="1" operator="between">
      <formula>0</formula>
      <formula>0.5</formula>
    </cfRule>
  </conditionalFormatting>
  <conditionalFormatting sqref="K204">
    <cfRule type="cellIs" dxfId="6065" priority="4150" operator="between">
      <formula>0.76</formula>
      <formula>0.95</formula>
    </cfRule>
    <cfRule type="cellIs" dxfId="6064" priority="4151" operator="between">
      <formula>0.51</formula>
      <formula>0.75</formula>
    </cfRule>
    <cfRule type="cellIs" dxfId="6063" priority="4152" operator="greaterThan">
      <formula>1</formula>
    </cfRule>
    <cfRule type="cellIs" dxfId="6062" priority="4153" operator="between">
      <formula>0.96</formula>
      <formula>1</formula>
    </cfRule>
    <cfRule type="cellIs" dxfId="6061" priority="4154" stopIfTrue="1" operator="between">
      <formula>0</formula>
      <formula>0.5</formula>
    </cfRule>
  </conditionalFormatting>
  <conditionalFormatting sqref="M205">
    <cfRule type="cellIs" dxfId="6060" priority="4145" operator="between">
      <formula>0.1876</formula>
      <formula>0.2375</formula>
    </cfRule>
    <cfRule type="cellIs" dxfId="6059" priority="4146" operator="between">
      <formula>0.1251</formula>
      <formula>0.1875</formula>
    </cfRule>
    <cfRule type="cellIs" dxfId="6058" priority="4147" operator="greaterThan">
      <formula>0.25</formula>
    </cfRule>
    <cfRule type="cellIs" dxfId="6057" priority="4148" operator="between">
      <formula>0.2376</formula>
      <formula>0.25</formula>
    </cfRule>
    <cfRule type="cellIs" dxfId="6056" priority="4149" stopIfTrue="1" operator="between">
      <formula>0</formula>
      <formula>0.125</formula>
    </cfRule>
  </conditionalFormatting>
  <conditionalFormatting sqref="N205">
    <cfRule type="cellIs" dxfId="6055" priority="4140" operator="between">
      <formula>0.1876</formula>
      <formula>0.2375</formula>
    </cfRule>
    <cfRule type="cellIs" dxfId="6054" priority="4141" operator="between">
      <formula>0.1251</formula>
      <formula>0.1875</formula>
    </cfRule>
    <cfRule type="cellIs" dxfId="6053" priority="4142" operator="greaterThan">
      <formula>0.25</formula>
    </cfRule>
    <cfRule type="cellIs" dxfId="6052" priority="4143" operator="between">
      <formula>0.2376</formula>
      <formula>0.25</formula>
    </cfRule>
    <cfRule type="cellIs" dxfId="6051" priority="4144" stopIfTrue="1" operator="between">
      <formula>0</formula>
      <formula>0.125</formula>
    </cfRule>
  </conditionalFormatting>
  <conditionalFormatting sqref="O205">
    <cfRule type="cellIs" dxfId="6050" priority="4135" operator="between">
      <formula>0.1876</formula>
      <formula>0.2375</formula>
    </cfRule>
    <cfRule type="cellIs" dxfId="6049" priority="4136" operator="between">
      <formula>0.1251</formula>
      <formula>0.1875</formula>
    </cfRule>
    <cfRule type="cellIs" dxfId="6048" priority="4137" operator="greaterThan">
      <formula>0.25</formula>
    </cfRule>
    <cfRule type="cellIs" dxfId="6047" priority="4138" operator="between">
      <formula>0.2375</formula>
      <formula>0.25</formula>
    </cfRule>
    <cfRule type="cellIs" dxfId="6046" priority="4139" stopIfTrue="1" operator="between">
      <formula>0</formula>
      <formula>0.125</formula>
    </cfRule>
  </conditionalFormatting>
  <conditionalFormatting sqref="L205">
    <cfRule type="cellIs" dxfId="6045" priority="4130" operator="between">
      <formula>0.76</formula>
      <formula>0.95</formula>
    </cfRule>
    <cfRule type="cellIs" dxfId="6044" priority="4131" operator="between">
      <formula>0.51</formula>
      <formula>0.75</formula>
    </cfRule>
    <cfRule type="cellIs" dxfId="6043" priority="4132" operator="greaterThan">
      <formula>1</formula>
    </cfRule>
    <cfRule type="cellIs" dxfId="6042" priority="4133" operator="between">
      <formula>0.96</formula>
      <formula>1</formula>
    </cfRule>
    <cfRule type="cellIs" dxfId="6041" priority="4134" stopIfTrue="1" operator="between">
      <formula>0</formula>
      <formula>0.5</formula>
    </cfRule>
  </conditionalFormatting>
  <conditionalFormatting sqref="K205">
    <cfRule type="cellIs" dxfId="6040" priority="4125" operator="between">
      <formula>0.76</formula>
      <formula>0.95</formula>
    </cfRule>
    <cfRule type="cellIs" dxfId="6039" priority="4126" operator="between">
      <formula>0.51</formula>
      <formula>0.75</formula>
    </cfRule>
    <cfRule type="cellIs" dxfId="6038" priority="4127" operator="greaterThan">
      <formula>1</formula>
    </cfRule>
    <cfRule type="cellIs" dxfId="6037" priority="4128" operator="between">
      <formula>0.96</formula>
      <formula>1</formula>
    </cfRule>
    <cfRule type="cellIs" dxfId="6036" priority="4129" stopIfTrue="1" operator="between">
      <formula>0</formula>
      <formula>0.5</formula>
    </cfRule>
  </conditionalFormatting>
  <conditionalFormatting sqref="N304:O304">
    <cfRule type="cellIs" dxfId="6035" priority="4095" operator="between">
      <formula>0.1876</formula>
      <formula>0.2375</formula>
    </cfRule>
    <cfRule type="cellIs" dxfId="6034" priority="4096" operator="between">
      <formula>0.1251</formula>
      <formula>0.1875</formula>
    </cfRule>
    <cfRule type="cellIs" dxfId="6033" priority="4097" operator="greaterThan">
      <formula>0.25</formula>
    </cfRule>
    <cfRule type="cellIs" dxfId="6032" priority="4098" operator="between">
      <formula>0.2376</formula>
      <formula>0.25</formula>
    </cfRule>
    <cfRule type="cellIs" dxfId="6031" priority="4099" stopIfTrue="1" operator="between">
      <formula>0</formula>
      <formula>0.125</formula>
    </cfRule>
  </conditionalFormatting>
  <conditionalFormatting sqref="M305">
    <cfRule type="cellIs" dxfId="6030" priority="4090" operator="between">
      <formula>0.1876</formula>
      <formula>0.2375</formula>
    </cfRule>
    <cfRule type="cellIs" dxfId="6029" priority="4091" operator="between">
      <formula>0.1251</formula>
      <formula>0.1875</formula>
    </cfRule>
    <cfRule type="cellIs" dxfId="6028" priority="4092" operator="greaterThan">
      <formula>0.25</formula>
    </cfRule>
    <cfRule type="cellIs" dxfId="6027" priority="4093" operator="between">
      <formula>0.2376</formula>
      <formula>0.25</formula>
    </cfRule>
    <cfRule type="cellIs" dxfId="6026" priority="4094" stopIfTrue="1" operator="between">
      <formula>0</formula>
      <formula>0.125</formula>
    </cfRule>
  </conditionalFormatting>
  <conditionalFormatting sqref="N305">
    <cfRule type="cellIs" dxfId="6025" priority="4085" operator="between">
      <formula>0.1876</formula>
      <formula>0.2375</formula>
    </cfRule>
    <cfRule type="cellIs" dxfId="6024" priority="4086" operator="between">
      <formula>0.1251</formula>
      <formula>0.1875</formula>
    </cfRule>
    <cfRule type="cellIs" dxfId="6023" priority="4087" operator="greaterThan">
      <formula>0.25</formula>
    </cfRule>
    <cfRule type="cellIs" dxfId="6022" priority="4088" operator="between">
      <formula>0.2376</formula>
      <formula>0.25</formula>
    </cfRule>
    <cfRule type="cellIs" dxfId="6021" priority="4089" stopIfTrue="1" operator="between">
      <formula>0</formula>
      <formula>0.125</formula>
    </cfRule>
  </conditionalFormatting>
  <conditionalFormatting sqref="O305">
    <cfRule type="cellIs" dxfId="6020" priority="4080" operator="between">
      <formula>0.1876</formula>
      <formula>0.2375</formula>
    </cfRule>
    <cfRule type="cellIs" dxfId="6019" priority="4081" operator="between">
      <formula>0.1251</formula>
      <formula>0.1875</formula>
    </cfRule>
    <cfRule type="cellIs" dxfId="6018" priority="4082" operator="greaterThan">
      <formula>0.25</formula>
    </cfRule>
    <cfRule type="cellIs" dxfId="6017" priority="4083" operator="between">
      <formula>0.2375</formula>
      <formula>0.25</formula>
    </cfRule>
    <cfRule type="cellIs" dxfId="6016" priority="4084" stopIfTrue="1" operator="between">
      <formula>0</formula>
      <formula>0.125</formula>
    </cfRule>
  </conditionalFormatting>
  <conditionalFormatting sqref="L305">
    <cfRule type="cellIs" dxfId="6015" priority="4075" operator="between">
      <formula>0.76</formula>
      <formula>0.95</formula>
    </cfRule>
    <cfRule type="cellIs" dxfId="6014" priority="4076" operator="between">
      <formula>0.51</formula>
      <formula>0.75</formula>
    </cfRule>
    <cfRule type="cellIs" dxfId="6013" priority="4077" operator="greaterThan">
      <formula>1</formula>
    </cfRule>
    <cfRule type="cellIs" dxfId="6012" priority="4078" operator="between">
      <formula>0.96</formula>
      <formula>1</formula>
    </cfRule>
    <cfRule type="cellIs" dxfId="6011" priority="4079" stopIfTrue="1" operator="between">
      <formula>0</formula>
      <formula>0.5</formula>
    </cfRule>
  </conditionalFormatting>
  <conditionalFormatting sqref="K305">
    <cfRule type="cellIs" dxfId="6010" priority="4070" operator="between">
      <formula>0.76</formula>
      <formula>0.95</formula>
    </cfRule>
    <cfRule type="cellIs" dxfId="6009" priority="4071" operator="between">
      <formula>0.51</formula>
      <formula>0.75</formula>
    </cfRule>
    <cfRule type="cellIs" dxfId="6008" priority="4072" operator="greaterThan">
      <formula>1</formula>
    </cfRule>
    <cfRule type="cellIs" dxfId="6007" priority="4073" operator="between">
      <formula>0.96</formula>
      <formula>1</formula>
    </cfRule>
    <cfRule type="cellIs" dxfId="6006" priority="4074" stopIfTrue="1" operator="between">
      <formula>0</formula>
      <formula>0.5</formula>
    </cfRule>
  </conditionalFormatting>
  <conditionalFormatting sqref="M306">
    <cfRule type="cellIs" dxfId="6005" priority="4065" operator="between">
      <formula>0.1876</formula>
      <formula>0.2375</formula>
    </cfRule>
    <cfRule type="cellIs" dxfId="6004" priority="4066" operator="between">
      <formula>0.1251</formula>
      <formula>0.1875</formula>
    </cfRule>
    <cfRule type="cellIs" dxfId="6003" priority="4067" operator="greaterThan">
      <formula>0.25</formula>
    </cfRule>
    <cfRule type="cellIs" dxfId="6002" priority="4068" operator="between">
      <formula>0.2376</formula>
      <formula>0.25</formula>
    </cfRule>
    <cfRule type="cellIs" dxfId="6001" priority="4069" stopIfTrue="1" operator="between">
      <formula>0</formula>
      <formula>0.125</formula>
    </cfRule>
  </conditionalFormatting>
  <conditionalFormatting sqref="N306">
    <cfRule type="cellIs" dxfId="6000" priority="4060" operator="between">
      <formula>0.1876</formula>
      <formula>0.2375</formula>
    </cfRule>
    <cfRule type="cellIs" dxfId="5999" priority="4061" operator="between">
      <formula>0.1251</formula>
      <formula>0.1875</formula>
    </cfRule>
    <cfRule type="cellIs" dxfId="5998" priority="4062" operator="greaterThan">
      <formula>0.25</formula>
    </cfRule>
    <cfRule type="cellIs" dxfId="5997" priority="4063" operator="between">
      <formula>0.2376</formula>
      <formula>0.25</formula>
    </cfRule>
    <cfRule type="cellIs" dxfId="5996" priority="4064" stopIfTrue="1" operator="between">
      <formula>0</formula>
      <formula>0.125</formula>
    </cfRule>
  </conditionalFormatting>
  <conditionalFormatting sqref="O306">
    <cfRule type="cellIs" dxfId="5995" priority="4055" operator="between">
      <formula>0.1876</formula>
      <formula>0.2375</formula>
    </cfRule>
    <cfRule type="cellIs" dxfId="5994" priority="4056" operator="between">
      <formula>0.1251</formula>
      <formula>0.1875</formula>
    </cfRule>
    <cfRule type="cellIs" dxfId="5993" priority="4057" operator="greaterThan">
      <formula>0.25</formula>
    </cfRule>
    <cfRule type="cellIs" dxfId="5992" priority="4058" operator="between">
      <formula>0.2375</formula>
      <formula>0.25</formula>
    </cfRule>
    <cfRule type="cellIs" dxfId="5991" priority="4059" stopIfTrue="1" operator="between">
      <formula>0</formula>
      <formula>0.125</formula>
    </cfRule>
  </conditionalFormatting>
  <conditionalFormatting sqref="L306">
    <cfRule type="cellIs" dxfId="5990" priority="4050" operator="between">
      <formula>0.76</formula>
      <formula>0.95</formula>
    </cfRule>
    <cfRule type="cellIs" dxfId="5989" priority="4051" operator="between">
      <formula>0.51</formula>
      <formula>0.75</formula>
    </cfRule>
    <cfRule type="cellIs" dxfId="5988" priority="4052" operator="greaterThan">
      <formula>1</formula>
    </cfRule>
    <cfRule type="cellIs" dxfId="5987" priority="4053" operator="between">
      <formula>0.96</formula>
      <formula>1</formula>
    </cfRule>
    <cfRule type="cellIs" dxfId="5986" priority="4054" stopIfTrue="1" operator="between">
      <formula>0</formula>
      <formula>0.5</formula>
    </cfRule>
  </conditionalFormatting>
  <conditionalFormatting sqref="K306">
    <cfRule type="cellIs" dxfId="5985" priority="4045" operator="between">
      <formula>0.76</formula>
      <formula>0.95</formula>
    </cfRule>
    <cfRule type="cellIs" dxfId="5984" priority="4046" operator="between">
      <formula>0.51</formula>
      <formula>0.75</formula>
    </cfRule>
    <cfRule type="cellIs" dxfId="5983" priority="4047" operator="greaterThan">
      <formula>1</formula>
    </cfRule>
    <cfRule type="cellIs" dxfId="5982" priority="4048" operator="between">
      <formula>0.96</formula>
      <formula>1</formula>
    </cfRule>
    <cfRule type="cellIs" dxfId="5981" priority="4049" stopIfTrue="1" operator="between">
      <formula>0</formula>
      <formula>0.5</formula>
    </cfRule>
  </conditionalFormatting>
  <conditionalFormatting sqref="M307:M311 M357:M359">
    <cfRule type="cellIs" dxfId="5980" priority="4040" operator="between">
      <formula>0.1876</formula>
      <formula>0.2375</formula>
    </cfRule>
    <cfRule type="cellIs" dxfId="5979" priority="4041" operator="between">
      <formula>0.1251</formula>
      <formula>0.1875</formula>
    </cfRule>
    <cfRule type="cellIs" dxfId="5978" priority="4042" operator="greaterThan">
      <formula>0.25</formula>
    </cfRule>
    <cfRule type="cellIs" dxfId="5977" priority="4043" operator="between">
      <formula>0.2376</formula>
      <formula>0.25</formula>
    </cfRule>
    <cfRule type="cellIs" dxfId="5976" priority="4044" stopIfTrue="1" operator="between">
      <formula>0</formula>
      <formula>0.125</formula>
    </cfRule>
  </conditionalFormatting>
  <conditionalFormatting sqref="N307:N311 N357:N359">
    <cfRule type="cellIs" dxfId="5975" priority="4035" operator="between">
      <formula>0.1876</formula>
      <formula>0.2375</formula>
    </cfRule>
    <cfRule type="cellIs" dxfId="5974" priority="4036" operator="between">
      <formula>0.1251</formula>
      <formula>0.1875</formula>
    </cfRule>
    <cfRule type="cellIs" dxfId="5973" priority="4037" operator="greaterThan">
      <formula>0.25</formula>
    </cfRule>
    <cfRule type="cellIs" dxfId="5972" priority="4038" operator="between">
      <formula>0.2376</formula>
      <formula>0.25</formula>
    </cfRule>
    <cfRule type="cellIs" dxfId="5971" priority="4039" stopIfTrue="1" operator="between">
      <formula>0</formula>
      <formula>0.125</formula>
    </cfRule>
  </conditionalFormatting>
  <conditionalFormatting sqref="O308:O311 O357:O359">
    <cfRule type="cellIs" dxfId="5970" priority="4030" operator="between">
      <formula>0.1876</formula>
      <formula>0.2375</formula>
    </cfRule>
    <cfRule type="cellIs" dxfId="5969" priority="4031" operator="between">
      <formula>0.1251</formula>
      <formula>0.1875</formula>
    </cfRule>
    <cfRule type="cellIs" dxfId="5968" priority="4032" operator="greaterThan">
      <formula>0.25</formula>
    </cfRule>
    <cfRule type="cellIs" dxfId="5967" priority="4033" operator="between">
      <formula>0.2375</formula>
      <formula>0.25</formula>
    </cfRule>
    <cfRule type="cellIs" dxfId="5966" priority="4034" stopIfTrue="1" operator="between">
      <formula>0</formula>
      <formula>0.125</formula>
    </cfRule>
  </conditionalFormatting>
  <conditionalFormatting sqref="L308:L311 L357:L359">
    <cfRule type="cellIs" dxfId="5965" priority="4025" operator="between">
      <formula>0.76</formula>
      <formula>0.95</formula>
    </cfRule>
    <cfRule type="cellIs" dxfId="5964" priority="4026" operator="between">
      <formula>0.51</formula>
      <formula>0.75</formula>
    </cfRule>
    <cfRule type="cellIs" dxfId="5963" priority="4027" operator="greaterThan">
      <formula>1</formula>
    </cfRule>
    <cfRule type="cellIs" dxfId="5962" priority="4028" operator="between">
      <formula>0.96</formula>
      <formula>1</formula>
    </cfRule>
    <cfRule type="cellIs" dxfId="5961" priority="4029" stopIfTrue="1" operator="between">
      <formula>0</formula>
      <formula>0.5</formula>
    </cfRule>
  </conditionalFormatting>
  <conditionalFormatting sqref="K307:K311 K357:K359">
    <cfRule type="cellIs" dxfId="5960" priority="4020" operator="between">
      <formula>0.76</formula>
      <formula>0.95</formula>
    </cfRule>
    <cfRule type="cellIs" dxfId="5959" priority="4021" operator="between">
      <formula>0.51</formula>
      <formula>0.75</formula>
    </cfRule>
    <cfRule type="cellIs" dxfId="5958" priority="4022" operator="greaterThan">
      <formula>1</formula>
    </cfRule>
    <cfRule type="cellIs" dxfId="5957" priority="4023" operator="between">
      <formula>0.96</formula>
      <formula>1</formula>
    </cfRule>
    <cfRule type="cellIs" dxfId="5956" priority="4024" stopIfTrue="1" operator="between">
      <formula>0</formula>
      <formula>0.5</formula>
    </cfRule>
  </conditionalFormatting>
  <conditionalFormatting sqref="N360:O360">
    <cfRule type="cellIs" dxfId="5955" priority="4015" operator="between">
      <formula>0.1876</formula>
      <formula>0.2375</formula>
    </cfRule>
    <cfRule type="cellIs" dxfId="5954" priority="4016" operator="between">
      <formula>0.1251</formula>
      <formula>0.1875</formula>
    </cfRule>
    <cfRule type="cellIs" dxfId="5953" priority="4017" operator="greaterThan">
      <formula>0.25</formula>
    </cfRule>
    <cfRule type="cellIs" dxfId="5952" priority="4018" operator="between">
      <formula>0.2376</formula>
      <formula>0.25</formula>
    </cfRule>
    <cfRule type="cellIs" dxfId="5951" priority="4019" stopIfTrue="1" operator="between">
      <formula>0</formula>
      <formula>0.25</formula>
    </cfRule>
  </conditionalFormatting>
  <conditionalFormatting sqref="L362:L363">
    <cfRule type="cellIs" dxfId="5950" priority="4010" operator="between">
      <formula>0.76</formula>
      <formula>0.95</formula>
    </cfRule>
    <cfRule type="cellIs" dxfId="5949" priority="4011" operator="between">
      <formula>0.51</formula>
      <formula>0.75</formula>
    </cfRule>
    <cfRule type="cellIs" dxfId="5948" priority="4012" operator="greaterThan">
      <formula>1</formula>
    </cfRule>
    <cfRule type="cellIs" dxfId="5947" priority="4013" operator="between">
      <formula>0.96</formula>
      <formula>1</formula>
    </cfRule>
    <cfRule type="cellIs" dxfId="5946" priority="4014" stopIfTrue="1" operator="between">
      <formula>0</formula>
      <formula>0.5</formula>
    </cfRule>
  </conditionalFormatting>
  <conditionalFormatting sqref="K361:K363">
    <cfRule type="cellIs" dxfId="5945" priority="4005" operator="between">
      <formula>0.7505</formula>
      <formula>0.95</formula>
    </cfRule>
    <cfRule type="cellIs" dxfId="5944" priority="4006" operator="between">
      <formula>0.51</formula>
      <formula>0.75</formula>
    </cfRule>
    <cfRule type="cellIs" dxfId="5943" priority="4007" operator="greaterThan">
      <formula>1</formula>
    </cfRule>
    <cfRule type="cellIs" dxfId="5942" priority="4008" operator="between">
      <formula>0.96</formula>
      <formula>1</formula>
    </cfRule>
    <cfRule type="cellIs" dxfId="5941" priority="4009" stopIfTrue="1" operator="between">
      <formula>0</formula>
      <formula>0.5</formula>
    </cfRule>
  </conditionalFormatting>
  <conditionalFormatting sqref="M361:M363">
    <cfRule type="cellIs" dxfId="5940" priority="4000" operator="between">
      <formula>0.1876</formula>
      <formula>0.2375</formula>
    </cfRule>
    <cfRule type="cellIs" dxfId="5939" priority="4001" operator="between">
      <formula>0.1251</formula>
      <formula>0.1875</formula>
    </cfRule>
    <cfRule type="cellIs" dxfId="5938" priority="4002" operator="greaterThan">
      <formula>0.25</formula>
    </cfRule>
    <cfRule type="cellIs" dxfId="5937" priority="4003" operator="between">
      <formula>0.2376</formula>
      <formula>0.25</formula>
    </cfRule>
    <cfRule type="cellIs" dxfId="5936" priority="4004" stopIfTrue="1" operator="between">
      <formula>0</formula>
      <formula>0.25</formula>
    </cfRule>
  </conditionalFormatting>
  <conditionalFormatting sqref="N361:O361">
    <cfRule type="cellIs" dxfId="5935" priority="3995" operator="between">
      <formula>0.1876</formula>
      <formula>0.2375</formula>
    </cfRule>
    <cfRule type="cellIs" dxfId="5934" priority="3996" operator="between">
      <formula>0.1251</formula>
      <formula>0.1875</formula>
    </cfRule>
    <cfRule type="cellIs" dxfId="5933" priority="3997" operator="greaterThan">
      <formula>0.25</formula>
    </cfRule>
    <cfRule type="cellIs" dxfId="5932" priority="3998" operator="between">
      <formula>0.2376</formula>
      <formula>0.25</formula>
    </cfRule>
    <cfRule type="cellIs" dxfId="5931" priority="3999" stopIfTrue="1" operator="between">
      <formula>0</formula>
      <formula>0.25</formula>
    </cfRule>
  </conditionalFormatting>
  <conditionalFormatting sqref="L307">
    <cfRule type="cellIs" dxfId="5930" priority="3970" operator="between">
      <formula>0.76</formula>
      <formula>0.95</formula>
    </cfRule>
    <cfRule type="cellIs" dxfId="5929" priority="3971" operator="between">
      <formula>0.51</formula>
      <formula>0.75</formula>
    </cfRule>
    <cfRule type="cellIs" dxfId="5928" priority="3972" operator="greaterThan">
      <formula>1</formula>
    </cfRule>
    <cfRule type="cellIs" dxfId="5927" priority="3973" operator="between">
      <formula>0.96</formula>
      <formula>1</formula>
    </cfRule>
    <cfRule type="cellIs" dxfId="5926" priority="3974" stopIfTrue="1" operator="between">
      <formula>0</formula>
      <formula>0.5</formula>
    </cfRule>
  </conditionalFormatting>
  <conditionalFormatting sqref="O307">
    <cfRule type="cellIs" dxfId="5925" priority="3965" operator="between">
      <formula>0.1876</formula>
      <formula>0.2375</formula>
    </cfRule>
    <cfRule type="cellIs" dxfId="5924" priority="3966" operator="between">
      <formula>0.1251</formula>
      <formula>0.1875</formula>
    </cfRule>
    <cfRule type="cellIs" dxfId="5923" priority="3967" operator="greaterThan">
      <formula>0.25</formula>
    </cfRule>
    <cfRule type="cellIs" dxfId="5922" priority="3968" operator="between">
      <formula>0.2375</formula>
      <formula>0.25</formula>
    </cfRule>
    <cfRule type="cellIs" dxfId="5921" priority="3969" stopIfTrue="1" operator="between">
      <formula>0</formula>
      <formula>0.125</formula>
    </cfRule>
  </conditionalFormatting>
  <conditionalFormatting sqref="K280:L280">
    <cfRule type="cellIs" dxfId="5920" priority="3960" operator="between">
      <formula>0.76</formula>
      <formula>0.95</formula>
    </cfRule>
    <cfRule type="cellIs" dxfId="5919" priority="3961" operator="between">
      <formula>0.51</formula>
      <formula>0.75</formula>
    </cfRule>
    <cfRule type="cellIs" dxfId="5918" priority="3962" operator="greaterThan">
      <formula>1</formula>
    </cfRule>
    <cfRule type="cellIs" dxfId="5917" priority="3963" operator="between">
      <formula>0.96</formula>
      <formula>1</formula>
    </cfRule>
    <cfRule type="cellIs" dxfId="5916" priority="3964" stopIfTrue="1" operator="between">
      <formula>0</formula>
      <formula>0.5</formula>
    </cfRule>
  </conditionalFormatting>
  <conditionalFormatting sqref="O280">
    <cfRule type="cellIs" dxfId="5915" priority="3955" operator="between">
      <formula>0.1876</formula>
      <formula>0.2375</formula>
    </cfRule>
    <cfRule type="cellIs" dxfId="5914" priority="3956" operator="between">
      <formula>0.1251</formula>
      <formula>0.1875</formula>
    </cfRule>
    <cfRule type="cellIs" dxfId="5913" priority="3957" operator="greaterThan">
      <formula>0.25</formula>
    </cfRule>
    <cfRule type="cellIs" dxfId="5912" priority="3958" operator="between">
      <formula>0.2375</formula>
      <formula>0.25</formula>
    </cfRule>
    <cfRule type="cellIs" dxfId="5911" priority="3959" stopIfTrue="1" operator="between">
      <formula>0</formula>
      <formula>0.125</formula>
    </cfRule>
  </conditionalFormatting>
  <conditionalFormatting sqref="M280:N280">
    <cfRule type="cellIs" dxfId="5910" priority="3950" operator="between">
      <formula>0.1876</formula>
      <formula>0.2375</formula>
    </cfRule>
    <cfRule type="cellIs" dxfId="5909" priority="3951" operator="between">
      <formula>0.1251</formula>
      <formula>0.1875</formula>
    </cfRule>
    <cfRule type="cellIs" dxfId="5908" priority="3952" operator="greaterThan">
      <formula>0.25</formula>
    </cfRule>
    <cfRule type="cellIs" dxfId="5907" priority="3953" operator="between">
      <formula>0.2376</formula>
      <formula>0.25</formula>
    </cfRule>
    <cfRule type="cellIs" dxfId="5906" priority="3954" stopIfTrue="1" operator="between">
      <formula>0</formula>
      <formula>0.125</formula>
    </cfRule>
  </conditionalFormatting>
  <conditionalFormatting sqref="Y280 AF280 R280 AH280:AI280">
    <cfRule type="cellIs" dxfId="5905" priority="3945" operator="between">
      <formula>0.76</formula>
      <formula>0.95</formula>
    </cfRule>
    <cfRule type="cellIs" dxfId="5904" priority="3946" operator="between">
      <formula>0.51</formula>
      <formula>0.75</formula>
    </cfRule>
    <cfRule type="cellIs" dxfId="5903" priority="3947" operator="greaterThan">
      <formula>1</formula>
    </cfRule>
    <cfRule type="cellIs" dxfId="5902" priority="3948" operator="between">
      <formula>0.95</formula>
      <formula>1</formula>
    </cfRule>
    <cfRule type="cellIs" dxfId="5901" priority="3949" stopIfTrue="1" operator="between">
      <formula>0</formula>
      <formula>0.5</formula>
    </cfRule>
  </conditionalFormatting>
  <conditionalFormatting sqref="T280">
    <cfRule type="cellIs" dxfId="5900" priority="3940" operator="between">
      <formula>0.3751</formula>
      <formula>0.475</formula>
    </cfRule>
    <cfRule type="cellIs" dxfId="5899" priority="3941" operator="between">
      <formula>0.2551</formula>
      <formula>0.375</formula>
    </cfRule>
    <cfRule type="cellIs" dxfId="5898" priority="3942" operator="greaterThan">
      <formula>0.505</formula>
    </cfRule>
    <cfRule type="cellIs" dxfId="5897" priority="3943" operator="between">
      <formula>0.48</formula>
      <formula>0.5</formula>
    </cfRule>
    <cfRule type="cellIs" dxfId="5896" priority="3944" stopIfTrue="1" operator="between">
      <formula>0</formula>
      <formula>0.255</formula>
    </cfRule>
  </conditionalFormatting>
  <conditionalFormatting sqref="AA280:AB280">
    <cfRule type="cellIs" dxfId="5895" priority="3935" operator="between">
      <formula>0.56251</formula>
      <formula>0.7125</formula>
    </cfRule>
    <cfRule type="cellIs" dxfId="5894" priority="3936" operator="between">
      <formula>0.3751</formula>
      <formula>0.5625</formula>
    </cfRule>
    <cfRule type="cellIs" dxfId="5893" priority="3937" operator="greaterThan">
      <formula>0.751</formula>
    </cfRule>
    <cfRule type="cellIs" dxfId="5892" priority="3938" operator="between">
      <formula>0.71251</formula>
      <formula>0.75</formula>
    </cfRule>
    <cfRule type="cellIs" dxfId="5891" priority="3939" stopIfTrue="1" operator="between">
      <formula>0</formula>
      <formula>0.375</formula>
    </cfRule>
  </conditionalFormatting>
  <conditionalFormatting sqref="U280">
    <cfRule type="cellIs" dxfId="5890" priority="3930" operator="between">
      <formula>0.376</formula>
      <formula>0.475</formula>
    </cfRule>
    <cfRule type="cellIs" dxfId="5889" priority="3931" operator="between">
      <formula>0.2551</formula>
      <formula>0.3751</formula>
    </cfRule>
    <cfRule type="cellIs" dxfId="5888" priority="3932" operator="greaterThan">
      <formula>0.505</formula>
    </cfRule>
    <cfRule type="cellIs" dxfId="5887" priority="3933" operator="between">
      <formula>0.48</formula>
      <formula>0.5</formula>
    </cfRule>
    <cfRule type="cellIs" dxfId="5886" priority="3934" stopIfTrue="1" operator="between">
      <formula>0</formula>
      <formula>0.255</formula>
    </cfRule>
  </conditionalFormatting>
  <conditionalFormatting sqref="S280">
    <cfRule type="cellIs" dxfId="5885" priority="3915" operator="between">
      <formula>0.76</formula>
      <formula>0.95</formula>
    </cfRule>
    <cfRule type="cellIs" dxfId="5884" priority="3916" operator="between">
      <formula>0.51</formula>
      <formula>0.75</formula>
    </cfRule>
    <cfRule type="cellIs" dxfId="5883" priority="3917" operator="greaterThan">
      <formula>1</formula>
    </cfRule>
    <cfRule type="cellIs" dxfId="5882" priority="3918" operator="between">
      <formula>0.95</formula>
      <formula>1</formula>
    </cfRule>
    <cfRule type="cellIs" dxfId="5881" priority="3919" stopIfTrue="1" operator="between">
      <formula>0</formula>
      <formula>0.5</formula>
    </cfRule>
  </conditionalFormatting>
  <conditionalFormatting sqref="Z280">
    <cfRule type="cellIs" dxfId="5880" priority="3910" operator="between">
      <formula>0.76</formula>
      <formula>0.95</formula>
    </cfRule>
    <cfRule type="cellIs" dxfId="5879" priority="3911" operator="between">
      <formula>0.51</formula>
      <formula>0.75</formula>
    </cfRule>
    <cfRule type="cellIs" dxfId="5878" priority="3912" operator="greaterThan">
      <formula>1</formula>
    </cfRule>
    <cfRule type="cellIs" dxfId="5877" priority="3913" operator="between">
      <formula>0.95</formula>
      <formula>1</formula>
    </cfRule>
    <cfRule type="cellIs" dxfId="5876" priority="3914" stopIfTrue="1" operator="between">
      <formula>0</formula>
      <formula>0.5</formula>
    </cfRule>
  </conditionalFormatting>
  <conditionalFormatting sqref="AG280">
    <cfRule type="cellIs" dxfId="5875" priority="3905" operator="between">
      <formula>0.76</formula>
      <formula>0.95</formula>
    </cfRule>
    <cfRule type="cellIs" dxfId="5874" priority="3906" operator="between">
      <formula>0.51</formula>
      <formula>0.75</formula>
    </cfRule>
    <cfRule type="cellIs" dxfId="5873" priority="3907" operator="greaterThan">
      <formula>1</formula>
    </cfRule>
    <cfRule type="cellIs" dxfId="5872" priority="3908" operator="between">
      <formula>0.95</formula>
      <formula>1</formula>
    </cfRule>
    <cfRule type="cellIs" dxfId="5871" priority="3909" stopIfTrue="1" operator="between">
      <formula>0</formula>
      <formula>0.5</formula>
    </cfRule>
  </conditionalFormatting>
  <conditionalFormatting sqref="K180:L180">
    <cfRule type="cellIs" dxfId="5870" priority="3888" operator="between">
      <formula>0.76</formula>
      <formula>0.95</formula>
    </cfRule>
    <cfRule type="cellIs" dxfId="5869" priority="3889" operator="between">
      <formula>0.51</formula>
      <formula>0.75</formula>
    </cfRule>
    <cfRule type="cellIs" dxfId="5868" priority="3890" operator="greaterThan">
      <formula>1</formula>
    </cfRule>
    <cfRule type="cellIs" dxfId="5867" priority="3891" operator="between">
      <formula>0.96</formula>
      <formula>1</formula>
    </cfRule>
    <cfRule type="cellIs" dxfId="5866" priority="3892" stopIfTrue="1" operator="between">
      <formula>0</formula>
      <formula>0.5</formula>
    </cfRule>
  </conditionalFormatting>
  <conditionalFormatting sqref="R180 Y180 AF180 AH180:AI180">
    <cfRule type="cellIs" dxfId="5865" priority="3883" operator="between">
      <formula>0.76</formula>
      <formula>0.95</formula>
    </cfRule>
    <cfRule type="cellIs" dxfId="5864" priority="3884" operator="between">
      <formula>0.51</formula>
      <formula>0.75</formula>
    </cfRule>
    <cfRule type="cellIs" dxfId="5863" priority="3885" operator="greaterThan">
      <formula>1</formula>
    </cfRule>
    <cfRule type="cellIs" dxfId="5862" priority="3886" operator="between">
      <formula>0.95</formula>
      <formula>1</formula>
    </cfRule>
    <cfRule type="cellIs" dxfId="5861" priority="3887" stopIfTrue="1" operator="between">
      <formula>0</formula>
      <formula>0.5</formula>
    </cfRule>
  </conditionalFormatting>
  <conditionalFormatting sqref="T180">
    <cfRule type="cellIs" dxfId="5860" priority="3878" operator="between">
      <formula>0.3751</formula>
      <formula>0.475</formula>
    </cfRule>
    <cfRule type="cellIs" dxfId="5859" priority="3879" operator="between">
      <formula>0.2551</formula>
      <formula>0.375</formula>
    </cfRule>
    <cfRule type="cellIs" dxfId="5858" priority="3880" operator="greaterThan">
      <formula>0.505</formula>
    </cfRule>
    <cfRule type="cellIs" dxfId="5857" priority="3881" operator="between">
      <formula>0.48</formula>
      <formula>0.5</formula>
    </cfRule>
    <cfRule type="cellIs" dxfId="5856" priority="3882" stopIfTrue="1" operator="between">
      <formula>0</formula>
      <formula>0.255</formula>
    </cfRule>
  </conditionalFormatting>
  <conditionalFormatting sqref="AA180:AB180">
    <cfRule type="cellIs" dxfId="5855" priority="3873" operator="between">
      <formula>0.56251</formula>
      <formula>0.7125</formula>
    </cfRule>
    <cfRule type="cellIs" dxfId="5854" priority="3874" operator="between">
      <formula>0.3751</formula>
      <formula>0.5625</formula>
    </cfRule>
    <cfRule type="cellIs" dxfId="5853" priority="3875" operator="greaterThan">
      <formula>0.751</formula>
    </cfRule>
    <cfRule type="cellIs" dxfId="5852" priority="3876" operator="between">
      <formula>0.71251</formula>
      <formula>0.75</formula>
    </cfRule>
    <cfRule type="cellIs" dxfId="5851" priority="3877" stopIfTrue="1" operator="between">
      <formula>0</formula>
      <formula>0.375</formula>
    </cfRule>
  </conditionalFormatting>
  <conditionalFormatting sqref="U180">
    <cfRule type="cellIs" dxfId="5850" priority="3868" operator="between">
      <formula>0.376</formula>
      <formula>0.475</formula>
    </cfRule>
    <cfRule type="cellIs" dxfId="5849" priority="3869" operator="between">
      <formula>0.2551</formula>
      <formula>0.3751</formula>
    </cfRule>
    <cfRule type="cellIs" dxfId="5848" priority="3870" operator="greaterThan">
      <formula>0.505</formula>
    </cfRule>
    <cfRule type="cellIs" dxfId="5847" priority="3871" operator="between">
      <formula>0.48</formula>
      <formula>0.5</formula>
    </cfRule>
    <cfRule type="cellIs" dxfId="5846" priority="3872" stopIfTrue="1" operator="between">
      <formula>0</formula>
      <formula>0.255</formula>
    </cfRule>
  </conditionalFormatting>
  <conditionalFormatting sqref="AG180">
    <cfRule type="cellIs" dxfId="5845" priority="3860" operator="between">
      <formula>0.76</formula>
      <formula>0.95</formula>
    </cfRule>
    <cfRule type="cellIs" dxfId="5844" priority="3861" operator="between">
      <formula>0.51</formula>
      <formula>0.75</formula>
    </cfRule>
    <cfRule type="cellIs" dxfId="5843" priority="3862" operator="greaterThan">
      <formula>1</formula>
    </cfRule>
    <cfRule type="cellIs" dxfId="5842" priority="3863" operator="between">
      <formula>0.95</formula>
      <formula>1</formula>
    </cfRule>
    <cfRule type="cellIs" dxfId="5841" priority="3864" stopIfTrue="1" operator="between">
      <formula>0</formula>
      <formula>0.5</formula>
    </cfRule>
  </conditionalFormatting>
  <conditionalFormatting sqref="Z180">
    <cfRule type="cellIs" dxfId="5840" priority="3855" operator="between">
      <formula>0.76</formula>
      <formula>0.95</formula>
    </cfRule>
    <cfRule type="cellIs" dxfId="5839" priority="3856" operator="between">
      <formula>0.51</formula>
      <formula>0.75</formula>
    </cfRule>
    <cfRule type="cellIs" dxfId="5838" priority="3857" operator="greaterThan">
      <formula>1</formula>
    </cfRule>
    <cfRule type="cellIs" dxfId="5837" priority="3858" operator="between">
      <formula>0.95</formula>
      <formula>1</formula>
    </cfRule>
    <cfRule type="cellIs" dxfId="5836" priority="3859" stopIfTrue="1" operator="between">
      <formula>0</formula>
      <formula>0.5</formula>
    </cfRule>
  </conditionalFormatting>
  <conditionalFormatting sqref="AC180">
    <cfRule type="cellIs" dxfId="5835" priority="3850" operator="between">
      <formula>0.56251</formula>
      <formula>0.7125</formula>
    </cfRule>
    <cfRule type="cellIs" dxfId="5834" priority="3851" operator="between">
      <formula>0.3751</formula>
      <formula>0.5625</formula>
    </cfRule>
    <cfRule type="cellIs" dxfId="5833" priority="3852" operator="greaterThan">
      <formula>0.751</formula>
    </cfRule>
    <cfRule type="cellIs" dxfId="5832" priority="3853" operator="between">
      <formula>0.71251</formula>
      <formula>0.75</formula>
    </cfRule>
    <cfRule type="cellIs" dxfId="5831" priority="3854" stopIfTrue="1" operator="between">
      <formula>0</formula>
      <formula>0.375</formula>
    </cfRule>
  </conditionalFormatting>
  <conditionalFormatting sqref="S180">
    <cfRule type="cellIs" dxfId="5830" priority="3845" operator="between">
      <formula>0.76</formula>
      <formula>0.95</formula>
    </cfRule>
    <cfRule type="cellIs" dxfId="5829" priority="3846" operator="between">
      <formula>0.51</formula>
      <formula>0.75</formula>
    </cfRule>
    <cfRule type="cellIs" dxfId="5828" priority="3847" operator="greaterThan">
      <formula>1</formula>
    </cfRule>
    <cfRule type="cellIs" dxfId="5827" priority="3848" operator="between">
      <formula>0.95</formula>
      <formula>1</formula>
    </cfRule>
    <cfRule type="cellIs" dxfId="5826" priority="3849" stopIfTrue="1" operator="between">
      <formula>0</formula>
      <formula>0.5</formula>
    </cfRule>
  </conditionalFormatting>
  <conditionalFormatting sqref="V180">
    <cfRule type="cellIs" dxfId="5825" priority="3840" operator="between">
      <formula>0.376</formula>
      <formula>0.475</formula>
    </cfRule>
    <cfRule type="cellIs" dxfId="5824" priority="3841" operator="between">
      <formula>0.2551</formula>
      <formula>0.3751</formula>
    </cfRule>
    <cfRule type="cellIs" dxfId="5823" priority="3842" operator="greaterThan">
      <formula>0.505</formula>
    </cfRule>
    <cfRule type="cellIs" dxfId="5822" priority="3843" operator="between">
      <formula>0.48</formula>
      <formula>0.5</formula>
    </cfRule>
    <cfRule type="cellIs" dxfId="5821" priority="3844" stopIfTrue="1" operator="between">
      <formula>0</formula>
      <formula>0.255</formula>
    </cfRule>
  </conditionalFormatting>
  <conditionalFormatting sqref="M180">
    <cfRule type="cellIs" dxfId="5820" priority="3835" operator="between">
      <formula>0.1876</formula>
      <formula>0.2375</formula>
    </cfRule>
    <cfRule type="cellIs" dxfId="5819" priority="3836" operator="between">
      <formula>0.1251</formula>
      <formula>0.1875</formula>
    </cfRule>
    <cfRule type="cellIs" dxfId="5818" priority="3837" operator="greaterThan">
      <formula>0.25</formula>
    </cfRule>
    <cfRule type="cellIs" dxfId="5817" priority="3838" operator="between">
      <formula>0.2376</formula>
      <formula>0.25</formula>
    </cfRule>
    <cfRule type="cellIs" dxfId="5816" priority="3839" stopIfTrue="1" operator="between">
      <formula>0</formula>
      <formula>0.125</formula>
    </cfRule>
  </conditionalFormatting>
  <conditionalFormatting sqref="N180">
    <cfRule type="cellIs" dxfId="5815" priority="3830" operator="between">
      <formula>0.1876</formula>
      <formula>0.2375</formula>
    </cfRule>
    <cfRule type="cellIs" dxfId="5814" priority="3831" operator="between">
      <formula>0.1251</formula>
      <formula>0.1875</formula>
    </cfRule>
    <cfRule type="cellIs" dxfId="5813" priority="3832" operator="greaterThan">
      <formula>0.25</formula>
    </cfRule>
    <cfRule type="cellIs" dxfId="5812" priority="3833" operator="between">
      <formula>0.2376</formula>
      <formula>0.25</formula>
    </cfRule>
    <cfRule type="cellIs" dxfId="5811" priority="3834" stopIfTrue="1" operator="between">
      <formula>0</formula>
      <formula>0.125</formula>
    </cfRule>
  </conditionalFormatting>
  <conditionalFormatting sqref="O180">
    <cfRule type="cellIs" dxfId="5810" priority="3825" operator="between">
      <formula>0.1876</formula>
      <formula>0.2375</formula>
    </cfRule>
    <cfRule type="cellIs" dxfId="5809" priority="3826" operator="between">
      <formula>0.1251</formula>
      <formula>0.1875</formula>
    </cfRule>
    <cfRule type="cellIs" dxfId="5808" priority="3827" operator="greaterThan">
      <formula>0.25</formula>
    </cfRule>
    <cfRule type="cellIs" dxfId="5807" priority="3828" operator="between">
      <formula>0.2375</formula>
      <formula>0.25</formula>
    </cfRule>
    <cfRule type="cellIs" dxfId="5806" priority="3829" stopIfTrue="1" operator="between">
      <formula>0</formula>
      <formula>0.125</formula>
    </cfRule>
  </conditionalFormatting>
  <conditionalFormatting sqref="M181">
    <cfRule type="cellIs" dxfId="5805" priority="3704" operator="between">
      <formula>0.1876</formula>
      <formula>0.2375</formula>
    </cfRule>
    <cfRule type="cellIs" dxfId="5804" priority="3705" operator="between">
      <formula>0.1251</formula>
      <formula>0.1875</formula>
    </cfRule>
    <cfRule type="cellIs" dxfId="5803" priority="3706" operator="greaterThan">
      <formula>0.25</formula>
    </cfRule>
    <cfRule type="cellIs" dxfId="5802" priority="3707" operator="between">
      <formula>0.2376</formula>
      <formula>0.25</formula>
    </cfRule>
    <cfRule type="cellIs" dxfId="5801" priority="3708" stopIfTrue="1" operator="between">
      <formula>0</formula>
      <formula>0.125</formula>
    </cfRule>
  </conditionalFormatting>
  <conditionalFormatting sqref="N181">
    <cfRule type="cellIs" dxfId="5800" priority="3699" operator="between">
      <formula>0.1876</formula>
      <formula>0.2375</formula>
    </cfRule>
    <cfRule type="cellIs" dxfId="5799" priority="3700" operator="between">
      <formula>0.1251</formula>
      <formula>0.1875</formula>
    </cfRule>
    <cfRule type="cellIs" dxfId="5798" priority="3701" operator="greaterThan">
      <formula>0.25</formula>
    </cfRule>
    <cfRule type="cellIs" dxfId="5797" priority="3702" operator="between">
      <formula>0.2376</formula>
      <formula>0.25</formula>
    </cfRule>
    <cfRule type="cellIs" dxfId="5796" priority="3703" stopIfTrue="1" operator="between">
      <formula>0</formula>
      <formula>0.125</formula>
    </cfRule>
  </conditionalFormatting>
  <conditionalFormatting sqref="O181">
    <cfRule type="cellIs" dxfId="5795" priority="3694" operator="between">
      <formula>0.1876</formula>
      <formula>0.2375</formula>
    </cfRule>
    <cfRule type="cellIs" dxfId="5794" priority="3695" operator="between">
      <formula>0.1251</formula>
      <formula>0.1875</formula>
    </cfRule>
    <cfRule type="cellIs" dxfId="5793" priority="3696" operator="greaterThan">
      <formula>0.25</formula>
    </cfRule>
    <cfRule type="cellIs" dxfId="5792" priority="3697" operator="between">
      <formula>0.2375</formula>
      <formula>0.25</formula>
    </cfRule>
    <cfRule type="cellIs" dxfId="5791" priority="3698" stopIfTrue="1" operator="between">
      <formula>0</formula>
      <formula>0.125</formula>
    </cfRule>
  </conditionalFormatting>
  <conditionalFormatting sqref="S181">
    <cfRule type="cellIs" dxfId="5790" priority="3689" operator="between">
      <formula>0.76</formula>
      <formula>0.95</formula>
    </cfRule>
    <cfRule type="cellIs" dxfId="5789" priority="3690" operator="between">
      <formula>0.51</formula>
      <formula>0.75</formula>
    </cfRule>
    <cfRule type="cellIs" dxfId="5788" priority="3691" operator="greaterThan">
      <formula>1</formula>
    </cfRule>
    <cfRule type="cellIs" dxfId="5787" priority="3692" operator="between">
      <formula>0.95</formula>
      <formula>1</formula>
    </cfRule>
    <cfRule type="cellIs" dxfId="5786" priority="3693" stopIfTrue="1" operator="between">
      <formula>0</formula>
      <formula>0.5</formula>
    </cfRule>
  </conditionalFormatting>
  <conditionalFormatting sqref="V181">
    <cfRule type="cellIs" dxfId="5785" priority="3684" operator="between">
      <formula>0.376</formula>
      <formula>0.475</formula>
    </cfRule>
    <cfRule type="cellIs" dxfId="5784" priority="3685" operator="between">
      <formula>0.2551</formula>
      <formula>0.3751</formula>
    </cfRule>
    <cfRule type="cellIs" dxfId="5783" priority="3686" operator="greaterThan">
      <formula>0.505</formula>
    </cfRule>
    <cfRule type="cellIs" dxfId="5782" priority="3687" operator="between">
      <formula>0.48</formula>
      <formula>0.5</formula>
    </cfRule>
    <cfRule type="cellIs" dxfId="5781" priority="3688" stopIfTrue="1" operator="between">
      <formula>0</formula>
      <formula>0.255</formula>
    </cfRule>
  </conditionalFormatting>
  <conditionalFormatting sqref="AG181">
    <cfRule type="cellIs" dxfId="5780" priority="3679" operator="between">
      <formula>0.76</formula>
      <formula>0.95</formula>
    </cfRule>
    <cfRule type="cellIs" dxfId="5779" priority="3680" operator="between">
      <formula>0.51</formula>
      <formula>0.75</formula>
    </cfRule>
    <cfRule type="cellIs" dxfId="5778" priority="3681" operator="greaterThan">
      <formula>1</formula>
    </cfRule>
    <cfRule type="cellIs" dxfId="5777" priority="3682" operator="between">
      <formula>0.95</formula>
      <formula>1</formula>
    </cfRule>
    <cfRule type="cellIs" dxfId="5776" priority="3683" stopIfTrue="1" operator="between">
      <formula>0</formula>
      <formula>0.5</formula>
    </cfRule>
  </conditionalFormatting>
  <conditionalFormatting sqref="K181:L181">
    <cfRule type="cellIs" dxfId="5775" priority="3757" operator="between">
      <formula>0.76</formula>
      <formula>0.95</formula>
    </cfRule>
    <cfRule type="cellIs" dxfId="5774" priority="3758" operator="between">
      <formula>0.51</formula>
      <formula>0.75</formula>
    </cfRule>
    <cfRule type="cellIs" dxfId="5773" priority="3759" operator="greaterThan">
      <formula>1</formula>
    </cfRule>
    <cfRule type="cellIs" dxfId="5772" priority="3760" operator="between">
      <formula>0.96</formula>
      <formula>1</formula>
    </cfRule>
    <cfRule type="cellIs" dxfId="5771" priority="3761" stopIfTrue="1" operator="between">
      <formula>0</formula>
      <formula>0.5</formula>
    </cfRule>
  </conditionalFormatting>
  <conditionalFormatting sqref="R181 Y181 AF181 AH181:AI181">
    <cfRule type="cellIs" dxfId="5770" priority="3752" operator="between">
      <formula>0.76</formula>
      <formula>0.95</formula>
    </cfRule>
    <cfRule type="cellIs" dxfId="5769" priority="3753" operator="between">
      <formula>0.51</formula>
      <formula>0.75</formula>
    </cfRule>
    <cfRule type="cellIs" dxfId="5768" priority="3754" operator="greaterThan">
      <formula>1</formula>
    </cfRule>
    <cfRule type="cellIs" dxfId="5767" priority="3755" operator="between">
      <formula>0.95</formula>
      <formula>1</formula>
    </cfRule>
    <cfRule type="cellIs" dxfId="5766" priority="3756" stopIfTrue="1" operator="between">
      <formula>0</formula>
      <formula>0.5</formula>
    </cfRule>
  </conditionalFormatting>
  <conditionalFormatting sqref="T181">
    <cfRule type="cellIs" dxfId="5765" priority="3747" operator="between">
      <formula>0.3751</formula>
      <formula>0.475</formula>
    </cfRule>
    <cfRule type="cellIs" dxfId="5764" priority="3748" operator="between">
      <formula>0.2551</formula>
      <formula>0.375</formula>
    </cfRule>
    <cfRule type="cellIs" dxfId="5763" priority="3749" operator="greaterThan">
      <formula>0.505</formula>
    </cfRule>
    <cfRule type="cellIs" dxfId="5762" priority="3750" operator="between">
      <formula>0.48</formula>
      <formula>0.5</formula>
    </cfRule>
    <cfRule type="cellIs" dxfId="5761" priority="3751" stopIfTrue="1" operator="between">
      <formula>0</formula>
      <formula>0.255</formula>
    </cfRule>
  </conditionalFormatting>
  <conditionalFormatting sqref="AA181:AB181">
    <cfRule type="cellIs" dxfId="5760" priority="3742" operator="between">
      <formula>0.56251</formula>
      <formula>0.7125</formula>
    </cfRule>
    <cfRule type="cellIs" dxfId="5759" priority="3743" operator="between">
      <formula>0.3751</formula>
      <formula>0.5625</formula>
    </cfRule>
    <cfRule type="cellIs" dxfId="5758" priority="3744" operator="greaterThan">
      <formula>0.751</formula>
    </cfRule>
    <cfRule type="cellIs" dxfId="5757" priority="3745" operator="between">
      <formula>0.71251</formula>
      <formula>0.75</formula>
    </cfRule>
    <cfRule type="cellIs" dxfId="5756" priority="3746" stopIfTrue="1" operator="between">
      <formula>0</formula>
      <formula>0.375</formula>
    </cfRule>
  </conditionalFormatting>
  <conditionalFormatting sqref="U181">
    <cfRule type="cellIs" dxfId="5755" priority="3737" operator="between">
      <formula>0.376</formula>
      <formula>0.475</formula>
    </cfRule>
    <cfRule type="cellIs" dxfId="5754" priority="3738" operator="between">
      <formula>0.2551</formula>
      <formula>0.3751</formula>
    </cfRule>
    <cfRule type="cellIs" dxfId="5753" priority="3739" operator="greaterThan">
      <formula>0.505</formula>
    </cfRule>
    <cfRule type="cellIs" dxfId="5752" priority="3740" operator="between">
      <formula>0.48</formula>
      <formula>0.5</formula>
    </cfRule>
    <cfRule type="cellIs" dxfId="5751" priority="3741" stopIfTrue="1" operator="between">
      <formula>0</formula>
      <formula>0.255</formula>
    </cfRule>
  </conditionalFormatting>
  <conditionalFormatting sqref="AI356">
    <cfRule type="cellIs" dxfId="5750" priority="3674" operator="between">
      <formula>0.76</formula>
      <formula>0.95</formula>
    </cfRule>
    <cfRule type="cellIs" dxfId="5749" priority="3675" operator="between">
      <formula>0.51</formula>
      <formula>0.75</formula>
    </cfRule>
    <cfRule type="cellIs" dxfId="5748" priority="3676" operator="greaterThan">
      <formula>1</formula>
    </cfRule>
    <cfRule type="cellIs" dxfId="5747" priority="3677" operator="between">
      <formula>0.95</formula>
      <formula>1</formula>
    </cfRule>
    <cfRule type="cellIs" dxfId="5746" priority="3678" stopIfTrue="1" operator="between">
      <formula>0</formula>
      <formula>0.5</formula>
    </cfRule>
  </conditionalFormatting>
  <conditionalFormatting sqref="R356">
    <cfRule type="cellIs" dxfId="5745" priority="3669" operator="between">
      <formula>0.76</formula>
      <formula>0.95</formula>
    </cfRule>
    <cfRule type="cellIs" dxfId="5744" priority="3670" operator="between">
      <formula>0.51</formula>
      <formula>0.75</formula>
    </cfRule>
    <cfRule type="cellIs" dxfId="5743" priority="3671" operator="greaterThan">
      <formula>1</formula>
    </cfRule>
    <cfRule type="cellIs" dxfId="5742" priority="3672" operator="between">
      <formula>0.95</formula>
      <formula>1</formula>
    </cfRule>
    <cfRule type="cellIs" dxfId="5741" priority="3673" stopIfTrue="1" operator="between">
      <formula>0</formula>
      <formula>0.5</formula>
    </cfRule>
  </conditionalFormatting>
  <conditionalFormatting sqref="Y356">
    <cfRule type="cellIs" dxfId="5740" priority="3664" operator="between">
      <formula>0.76</formula>
      <formula>0.95</formula>
    </cfRule>
    <cfRule type="cellIs" dxfId="5739" priority="3665" operator="between">
      <formula>0.51</formula>
      <formula>0.75</formula>
    </cfRule>
    <cfRule type="cellIs" dxfId="5738" priority="3666" operator="greaterThan">
      <formula>1</formula>
    </cfRule>
    <cfRule type="cellIs" dxfId="5737" priority="3667" operator="between">
      <formula>0.95</formula>
      <formula>1</formula>
    </cfRule>
    <cfRule type="cellIs" dxfId="5736" priority="3668" stopIfTrue="1" operator="between">
      <formula>0</formula>
      <formula>0.5</formula>
    </cfRule>
  </conditionalFormatting>
  <conditionalFormatting sqref="AF356">
    <cfRule type="cellIs" dxfId="5735" priority="3659" operator="between">
      <formula>0.76</formula>
      <formula>0.95</formula>
    </cfRule>
    <cfRule type="cellIs" dxfId="5734" priority="3660" operator="between">
      <formula>0.51</formula>
      <formula>0.75</formula>
    </cfRule>
    <cfRule type="cellIs" dxfId="5733" priority="3661" operator="greaterThan">
      <formula>1</formula>
    </cfRule>
    <cfRule type="cellIs" dxfId="5732" priority="3662" operator="between">
      <formula>0.95</formula>
      <formula>1</formula>
    </cfRule>
    <cfRule type="cellIs" dxfId="5731" priority="3663" stopIfTrue="1" operator="between">
      <formula>0</formula>
      <formula>0.5</formula>
    </cfRule>
  </conditionalFormatting>
  <conditionalFormatting sqref="AH356">
    <cfRule type="cellIs" dxfId="5730" priority="3654" operator="between">
      <formula>0.76</formula>
      <formula>0.95</formula>
    </cfRule>
    <cfRule type="cellIs" dxfId="5729" priority="3655" operator="between">
      <formula>0.51</formula>
      <formula>0.75</formula>
    </cfRule>
    <cfRule type="cellIs" dxfId="5728" priority="3656" operator="greaterThan">
      <formula>1</formula>
    </cfRule>
    <cfRule type="cellIs" dxfId="5727" priority="3657" operator="between">
      <formula>0.95</formula>
      <formula>1</formula>
    </cfRule>
    <cfRule type="cellIs" dxfId="5726" priority="3658" stopIfTrue="1" operator="between">
      <formula>0</formula>
      <formula>0.5</formula>
    </cfRule>
  </conditionalFormatting>
  <conditionalFormatting sqref="T356">
    <cfRule type="cellIs" dxfId="5725" priority="3649" operator="between">
      <formula>0.3751</formula>
      <formula>0.475</formula>
    </cfRule>
    <cfRule type="cellIs" dxfId="5724" priority="3650" operator="between">
      <formula>0.2551</formula>
      <formula>0.375</formula>
    </cfRule>
    <cfRule type="cellIs" dxfId="5723" priority="3651" operator="greaterThan">
      <formula>0.505</formula>
    </cfRule>
    <cfRule type="cellIs" dxfId="5722" priority="3652" operator="between">
      <formula>0.48</formula>
      <formula>0.5</formula>
    </cfRule>
    <cfRule type="cellIs" dxfId="5721" priority="3653" stopIfTrue="1" operator="between">
      <formula>0</formula>
      <formula>0.255</formula>
    </cfRule>
  </conditionalFormatting>
  <conditionalFormatting sqref="U356">
    <cfRule type="cellIs" dxfId="5720" priority="3644" operator="between">
      <formula>0.376</formula>
      <formula>0.475</formula>
    </cfRule>
    <cfRule type="cellIs" dxfId="5719" priority="3645" operator="between">
      <formula>0.2551</formula>
      <formula>0.3751</formula>
    </cfRule>
    <cfRule type="cellIs" dxfId="5718" priority="3646" operator="greaterThan">
      <formula>0.505</formula>
    </cfRule>
    <cfRule type="cellIs" dxfId="5717" priority="3647" operator="between">
      <formula>0.48</formula>
      <formula>0.5</formula>
    </cfRule>
    <cfRule type="cellIs" dxfId="5716" priority="3648" stopIfTrue="1" operator="between">
      <formula>0</formula>
      <formula>0.255</formula>
    </cfRule>
  </conditionalFormatting>
  <conditionalFormatting sqref="AA356">
    <cfRule type="cellIs" dxfId="5715" priority="3639" operator="between">
      <formula>0.56251</formula>
      <formula>0.7125</formula>
    </cfRule>
    <cfRule type="cellIs" dxfId="5714" priority="3640" operator="between">
      <formula>0.3751</formula>
      <formula>0.5625</formula>
    </cfRule>
    <cfRule type="cellIs" dxfId="5713" priority="3641" operator="greaterThan">
      <formula>0.751</formula>
    </cfRule>
    <cfRule type="cellIs" dxfId="5712" priority="3642" operator="between">
      <formula>0.71251</formula>
      <formula>0.75</formula>
    </cfRule>
    <cfRule type="cellIs" dxfId="5711" priority="3643" stopIfTrue="1" operator="between">
      <formula>0</formula>
      <formula>0.375</formula>
    </cfRule>
  </conditionalFormatting>
  <conditionalFormatting sqref="AB356">
    <cfRule type="cellIs" dxfId="5710" priority="3634" operator="between">
      <formula>0.56251</formula>
      <formula>0.7125</formula>
    </cfRule>
    <cfRule type="cellIs" dxfId="5709" priority="3635" operator="between">
      <formula>0.3751</formula>
      <formula>0.5625</formula>
    </cfRule>
    <cfRule type="cellIs" dxfId="5708" priority="3636" operator="greaterThan">
      <formula>0.751</formula>
    </cfRule>
    <cfRule type="cellIs" dxfId="5707" priority="3637" operator="between">
      <formula>0.71251</formula>
      <formula>0.75</formula>
    </cfRule>
    <cfRule type="cellIs" dxfId="5706" priority="3638" stopIfTrue="1" operator="between">
      <formula>0</formula>
      <formula>0.375</formula>
    </cfRule>
  </conditionalFormatting>
  <conditionalFormatting sqref="S356">
    <cfRule type="cellIs" dxfId="5705" priority="3624" operator="between">
      <formula>0.76</formula>
      <formula>0.95</formula>
    </cfRule>
    <cfRule type="cellIs" dxfId="5704" priority="3625" operator="between">
      <formula>0.51</formula>
      <formula>0.75</formula>
    </cfRule>
    <cfRule type="cellIs" dxfId="5703" priority="3626" operator="greaterThan">
      <formula>1</formula>
    </cfRule>
    <cfRule type="cellIs" dxfId="5702" priority="3627" operator="between">
      <formula>0.95</formula>
      <formula>1</formula>
    </cfRule>
    <cfRule type="cellIs" dxfId="5701" priority="3628" stopIfTrue="1" operator="between">
      <formula>0</formula>
      <formula>0.5</formula>
    </cfRule>
  </conditionalFormatting>
  <conditionalFormatting sqref="V356">
    <cfRule type="cellIs" dxfId="5700" priority="3619" operator="between">
      <formula>0.376</formula>
      <formula>0.475</formula>
    </cfRule>
    <cfRule type="cellIs" dxfId="5699" priority="3620" operator="between">
      <formula>0.2551</formula>
      <formula>0.3751</formula>
    </cfRule>
    <cfRule type="cellIs" dxfId="5698" priority="3621" operator="greaterThan">
      <formula>0.505</formula>
    </cfRule>
    <cfRule type="cellIs" dxfId="5697" priority="3622" operator="between">
      <formula>0.48</formula>
      <formula>0.5</formula>
    </cfRule>
    <cfRule type="cellIs" dxfId="5696" priority="3623" stopIfTrue="1" operator="between">
      <formula>0</formula>
      <formula>0.255</formula>
    </cfRule>
  </conditionalFormatting>
  <conditionalFormatting sqref="Z356">
    <cfRule type="cellIs" dxfId="5695" priority="3614" operator="between">
      <formula>0.76</formula>
      <formula>0.95</formula>
    </cfRule>
    <cfRule type="cellIs" dxfId="5694" priority="3615" operator="between">
      <formula>0.51</formula>
      <formula>0.75</formula>
    </cfRule>
    <cfRule type="cellIs" dxfId="5693" priority="3616" operator="greaterThan">
      <formula>1</formula>
    </cfRule>
    <cfRule type="cellIs" dxfId="5692" priority="3617" operator="between">
      <formula>0.95</formula>
      <formula>1</formula>
    </cfRule>
    <cfRule type="cellIs" dxfId="5691" priority="3618" stopIfTrue="1" operator="between">
      <formula>0</formula>
      <formula>0.5</formula>
    </cfRule>
  </conditionalFormatting>
  <conditionalFormatting sqref="AC356">
    <cfRule type="cellIs" dxfId="5690" priority="3609" operator="between">
      <formula>0.56251</formula>
      <formula>0.7125</formula>
    </cfRule>
    <cfRule type="cellIs" dxfId="5689" priority="3610" operator="between">
      <formula>0.3751</formula>
      <formula>0.5625</formula>
    </cfRule>
    <cfRule type="cellIs" dxfId="5688" priority="3611" operator="greaterThan">
      <formula>0.751</formula>
    </cfRule>
    <cfRule type="cellIs" dxfId="5687" priority="3612" operator="between">
      <formula>0.71251</formula>
      <formula>0.75</formula>
    </cfRule>
    <cfRule type="cellIs" dxfId="5686" priority="3613" stopIfTrue="1" operator="between">
      <formula>0</formula>
      <formula>0.375</formula>
    </cfRule>
  </conditionalFormatting>
  <conditionalFormatting sqref="M356">
    <cfRule type="cellIs" dxfId="5685" priority="3592" operator="between">
      <formula>0.1876</formula>
      <formula>0.2375</formula>
    </cfRule>
    <cfRule type="cellIs" dxfId="5684" priority="3593" operator="between">
      <formula>0.1251</formula>
      <formula>0.1875</formula>
    </cfRule>
    <cfRule type="cellIs" dxfId="5683" priority="3594" operator="greaterThan">
      <formula>0.25</formula>
    </cfRule>
    <cfRule type="cellIs" dxfId="5682" priority="3595" operator="between">
      <formula>0.2376</formula>
      <formula>0.25</formula>
    </cfRule>
    <cfRule type="cellIs" dxfId="5681" priority="3596" stopIfTrue="1" operator="between">
      <formula>0</formula>
      <formula>0.125</formula>
    </cfRule>
  </conditionalFormatting>
  <conditionalFormatting sqref="N356">
    <cfRule type="cellIs" dxfId="5680" priority="3587" operator="between">
      <formula>0.1876</formula>
      <formula>0.2375</formula>
    </cfRule>
    <cfRule type="cellIs" dxfId="5679" priority="3588" operator="between">
      <formula>0.1251</formula>
      <formula>0.1875</formula>
    </cfRule>
    <cfRule type="cellIs" dxfId="5678" priority="3589" operator="greaterThan">
      <formula>0.25</formula>
    </cfRule>
    <cfRule type="cellIs" dxfId="5677" priority="3590" operator="between">
      <formula>0.2376</formula>
      <formula>0.25</formula>
    </cfRule>
    <cfRule type="cellIs" dxfId="5676" priority="3591" stopIfTrue="1" operator="between">
      <formula>0</formula>
      <formula>0.125</formula>
    </cfRule>
  </conditionalFormatting>
  <conditionalFormatting sqref="O356">
    <cfRule type="cellIs" dxfId="5675" priority="3582" operator="between">
      <formula>0.1876</formula>
      <formula>0.2375</formula>
    </cfRule>
    <cfRule type="cellIs" dxfId="5674" priority="3583" operator="between">
      <formula>0.1251</formula>
      <formula>0.1875</formula>
    </cfRule>
    <cfRule type="cellIs" dxfId="5673" priority="3584" operator="greaterThan">
      <formula>0.25</formula>
    </cfRule>
    <cfRule type="cellIs" dxfId="5672" priority="3585" operator="between">
      <formula>0.2375</formula>
      <formula>0.25</formula>
    </cfRule>
    <cfRule type="cellIs" dxfId="5671" priority="3586" stopIfTrue="1" operator="between">
      <formula>0</formula>
      <formula>0.125</formula>
    </cfRule>
  </conditionalFormatting>
  <conditionalFormatting sqref="L356">
    <cfRule type="cellIs" dxfId="5670" priority="3577" operator="between">
      <formula>0.76</formula>
      <formula>0.95</formula>
    </cfRule>
    <cfRule type="cellIs" dxfId="5669" priority="3578" operator="between">
      <formula>0.51</formula>
      <formula>0.75</formula>
    </cfRule>
    <cfRule type="cellIs" dxfId="5668" priority="3579" operator="greaterThan">
      <formula>1</formula>
    </cfRule>
    <cfRule type="cellIs" dxfId="5667" priority="3580" operator="between">
      <formula>0.96</formula>
      <formula>1</formula>
    </cfRule>
    <cfRule type="cellIs" dxfId="5666" priority="3581" stopIfTrue="1" operator="between">
      <formula>0</formula>
      <formula>0.5</formula>
    </cfRule>
  </conditionalFormatting>
  <conditionalFormatting sqref="K356">
    <cfRule type="cellIs" dxfId="5665" priority="3572" operator="between">
      <formula>0.76</formula>
      <formula>0.95</formula>
    </cfRule>
    <cfRule type="cellIs" dxfId="5664" priority="3573" operator="between">
      <formula>0.51</formula>
      <formula>0.75</formula>
    </cfRule>
    <cfRule type="cellIs" dxfId="5663" priority="3574" operator="greaterThan">
      <formula>1</formula>
    </cfRule>
    <cfRule type="cellIs" dxfId="5662" priority="3575" operator="between">
      <formula>0.96</formula>
      <formula>1</formula>
    </cfRule>
    <cfRule type="cellIs" dxfId="5661" priority="3576" stopIfTrue="1" operator="between">
      <formula>0</formula>
      <formula>0.5</formula>
    </cfRule>
  </conditionalFormatting>
  <conditionalFormatting sqref="K37:L39">
    <cfRule type="cellIs" dxfId="5660" priority="3567" operator="between">
      <formula>0.76</formula>
      <formula>0.95</formula>
    </cfRule>
    <cfRule type="cellIs" dxfId="5659" priority="3568" operator="between">
      <formula>0.51</formula>
      <formula>0.75</formula>
    </cfRule>
    <cfRule type="cellIs" dxfId="5658" priority="3569" operator="greaterThan">
      <formula>1</formula>
    </cfRule>
    <cfRule type="cellIs" dxfId="5657" priority="3570" operator="between">
      <formula>0.96</formula>
      <formula>1</formula>
    </cfRule>
    <cfRule type="cellIs" dxfId="5656" priority="3571" stopIfTrue="1" operator="between">
      <formula>0</formula>
      <formula>0.5</formula>
    </cfRule>
  </conditionalFormatting>
  <conditionalFormatting sqref="M37:M39">
    <cfRule type="cellIs" dxfId="5655" priority="3562" operator="between">
      <formula>0.1876</formula>
      <formula>0.2375</formula>
    </cfRule>
    <cfRule type="cellIs" dxfId="5654" priority="3563" operator="between">
      <formula>0.1251</formula>
      <formula>0.1875</formula>
    </cfRule>
    <cfRule type="cellIs" dxfId="5653" priority="3564" operator="greaterThan">
      <formula>0.25</formula>
    </cfRule>
    <cfRule type="cellIs" dxfId="5652" priority="3565" operator="between">
      <formula>0.2375</formula>
      <formula>0.25</formula>
    </cfRule>
    <cfRule type="cellIs" dxfId="5651" priority="3566" stopIfTrue="1" operator="between">
      <formula>0</formula>
      <formula>0.125</formula>
    </cfRule>
  </conditionalFormatting>
  <conditionalFormatting sqref="N37:O39">
    <cfRule type="cellIs" dxfId="5650" priority="3557" operator="between">
      <formula>0.1876</formula>
      <formula>0.2375</formula>
    </cfRule>
    <cfRule type="cellIs" dxfId="5649" priority="3558" operator="between">
      <formula>0.1251</formula>
      <formula>0.1875</formula>
    </cfRule>
    <cfRule type="cellIs" dxfId="5648" priority="3559" operator="greaterThan">
      <formula>0.25</formula>
    </cfRule>
    <cfRule type="cellIs" dxfId="5647" priority="3560" operator="between">
      <formula>0.2376</formula>
      <formula>0.25</formula>
    </cfRule>
    <cfRule type="cellIs" dxfId="5646" priority="3561" stopIfTrue="1" operator="between">
      <formula>0</formula>
      <formula>0.125</formula>
    </cfRule>
  </conditionalFormatting>
  <conditionalFormatting sqref="Y234">
    <cfRule type="cellIs" dxfId="5645" priority="3544" operator="between">
      <formula>0.76</formula>
      <formula>0.95</formula>
    </cfRule>
    <cfRule type="cellIs" dxfId="5644" priority="3545" operator="between">
      <formula>0.51</formula>
      <formula>0.75</formula>
    </cfRule>
    <cfRule type="cellIs" dxfId="5643" priority="3546" operator="greaterThan">
      <formula>1</formula>
    </cfRule>
    <cfRule type="cellIs" dxfId="5642" priority="3547" operator="between">
      <formula>0.96</formula>
      <formula>1</formula>
    </cfRule>
    <cfRule type="cellIs" dxfId="5641" priority="3548" stopIfTrue="1" operator="between">
      <formula>0</formula>
      <formula>0.5</formula>
    </cfRule>
  </conditionalFormatting>
  <conditionalFormatting sqref="Z234">
    <cfRule type="cellIs" dxfId="5640" priority="3531" operator="between">
      <formula>0.76</formula>
      <formula>0.95</formula>
    </cfRule>
    <cfRule type="cellIs" dxfId="5639" priority="3532" operator="between">
      <formula>0.51</formula>
      <formula>0.75</formula>
    </cfRule>
    <cfRule type="cellIs" dxfId="5638" priority="3533" operator="greaterThan">
      <formula>1</formula>
    </cfRule>
    <cfRule type="cellIs" dxfId="5637" priority="3534" operator="between">
      <formula>0.95</formula>
      <formula>1</formula>
    </cfRule>
    <cfRule type="cellIs" dxfId="5636" priority="3535" stopIfTrue="1" operator="between">
      <formula>0</formula>
      <formula>0.5</formula>
    </cfRule>
  </conditionalFormatting>
  <conditionalFormatting sqref="AI234">
    <cfRule type="cellIs" dxfId="5635" priority="3508" operator="between">
      <formula>0.76</formula>
      <formula>0.95</formula>
    </cfRule>
    <cfRule type="cellIs" dxfId="5634" priority="3509" operator="between">
      <formula>0.51</formula>
      <formula>0.75</formula>
    </cfRule>
    <cfRule type="cellIs" dxfId="5633" priority="3510" operator="greaterThan">
      <formula>1</formula>
    </cfRule>
    <cfRule type="cellIs" dxfId="5632" priority="3511" operator="between">
      <formula>0.96</formula>
      <formula>1</formula>
    </cfRule>
    <cfRule type="cellIs" dxfId="5631" priority="3512" stopIfTrue="1" operator="between">
      <formula>0</formula>
      <formula>0.5</formula>
    </cfRule>
  </conditionalFormatting>
  <conditionalFormatting sqref="K172:L172">
    <cfRule type="cellIs" dxfId="5630" priority="3503" operator="between">
      <formula>0.76</formula>
      <formula>0.95</formula>
    </cfRule>
    <cfRule type="cellIs" dxfId="5629" priority="3504" operator="between">
      <formula>0.51</formula>
      <formula>0.75</formula>
    </cfRule>
    <cfRule type="cellIs" dxfId="5628" priority="3505" operator="greaterThan">
      <formula>1</formula>
    </cfRule>
    <cfRule type="cellIs" dxfId="5627" priority="3506" operator="between">
      <formula>0.96</formula>
      <formula>1</formula>
    </cfRule>
    <cfRule type="cellIs" dxfId="5626" priority="3507" stopIfTrue="1" operator="between">
      <formula>0</formula>
      <formula>0.5</formula>
    </cfRule>
  </conditionalFormatting>
  <conditionalFormatting sqref="O172">
    <cfRule type="cellIs" dxfId="5625" priority="3498" operator="between">
      <formula>0.1876</formula>
      <formula>0.2375</formula>
    </cfRule>
    <cfRule type="cellIs" dxfId="5624" priority="3499" operator="between">
      <formula>0.1251</formula>
      <formula>0.1875</formula>
    </cfRule>
    <cfRule type="cellIs" dxfId="5623" priority="3500" operator="greaterThan">
      <formula>0.25</formula>
    </cfRule>
    <cfRule type="cellIs" dxfId="5622" priority="3501" operator="between">
      <formula>0.2375</formula>
      <formula>0.25</formula>
    </cfRule>
    <cfRule type="cellIs" dxfId="5621" priority="3502" stopIfTrue="1" operator="between">
      <formula>0</formula>
      <formula>0.125</formula>
    </cfRule>
  </conditionalFormatting>
  <conditionalFormatting sqref="M172:N172">
    <cfRule type="cellIs" dxfId="5620" priority="3493" operator="between">
      <formula>0.1876</formula>
      <formula>0.2375</formula>
    </cfRule>
    <cfRule type="cellIs" dxfId="5619" priority="3494" operator="between">
      <formula>0.1251</formula>
      <formula>0.1875</formula>
    </cfRule>
    <cfRule type="cellIs" dxfId="5618" priority="3495" operator="greaterThan">
      <formula>0.25</formula>
    </cfRule>
    <cfRule type="cellIs" dxfId="5617" priority="3496" operator="between">
      <formula>0.2376</formula>
      <formula>0.25</formula>
    </cfRule>
    <cfRule type="cellIs" dxfId="5616" priority="3497" stopIfTrue="1" operator="between">
      <formula>0</formula>
      <formula>0.125</formula>
    </cfRule>
  </conditionalFormatting>
  <conditionalFormatting sqref="R172 Y172:Z172 AF172:AI172">
    <cfRule type="cellIs" dxfId="5615" priority="3488" operator="between">
      <formula>0.76</formula>
      <formula>0.95</formula>
    </cfRule>
    <cfRule type="cellIs" dxfId="5614" priority="3489" operator="between">
      <formula>0.51</formula>
      <formula>0.75</formula>
    </cfRule>
    <cfRule type="cellIs" dxfId="5613" priority="3490" operator="greaterThan">
      <formula>1</formula>
    </cfRule>
    <cfRule type="cellIs" dxfId="5612" priority="3491" operator="between">
      <formula>0.95</formula>
      <formula>1</formula>
    </cfRule>
    <cfRule type="cellIs" dxfId="5611" priority="3492" stopIfTrue="1" operator="between">
      <formula>0</formula>
      <formula>0.5</formula>
    </cfRule>
  </conditionalFormatting>
  <conditionalFormatting sqref="T172">
    <cfRule type="cellIs" dxfId="5610" priority="3483" operator="between">
      <formula>0.3751</formula>
      <formula>0.475</formula>
    </cfRule>
    <cfRule type="cellIs" dxfId="5609" priority="3484" operator="between">
      <formula>0.2551</formula>
      <formula>0.375</formula>
    </cfRule>
    <cfRule type="cellIs" dxfId="5608" priority="3485" operator="greaterThan">
      <formula>0.505</formula>
    </cfRule>
    <cfRule type="cellIs" dxfId="5607" priority="3486" operator="between">
      <formula>0.48</formula>
      <formula>0.5</formula>
    </cfRule>
    <cfRule type="cellIs" dxfId="5606" priority="3487" stopIfTrue="1" operator="between">
      <formula>0</formula>
      <formula>0.255</formula>
    </cfRule>
  </conditionalFormatting>
  <conditionalFormatting sqref="AA172:AC172">
    <cfRule type="cellIs" dxfId="5605" priority="3478" operator="between">
      <formula>0.56251</formula>
      <formula>0.7125</formula>
    </cfRule>
    <cfRule type="cellIs" dxfId="5604" priority="3479" operator="between">
      <formula>0.3751</formula>
      <formula>0.5625</formula>
    </cfRule>
    <cfRule type="cellIs" dxfId="5603" priority="3480" operator="greaterThan">
      <formula>0.751</formula>
    </cfRule>
    <cfRule type="cellIs" dxfId="5602" priority="3481" operator="between">
      <formula>0.71251</formula>
      <formula>0.75</formula>
    </cfRule>
    <cfRule type="cellIs" dxfId="5601" priority="3482" stopIfTrue="1" operator="between">
      <formula>0</formula>
      <formula>0.375</formula>
    </cfRule>
  </conditionalFormatting>
  <conditionalFormatting sqref="U172">
    <cfRule type="cellIs" dxfId="5600" priority="3473" operator="between">
      <formula>0.376</formula>
      <formula>0.475</formula>
    </cfRule>
    <cfRule type="cellIs" dxfId="5599" priority="3474" operator="between">
      <formula>0.2551</formula>
      <formula>0.3751</formula>
    </cfRule>
    <cfRule type="cellIs" dxfId="5598" priority="3475" operator="greaterThan">
      <formula>0.505</formula>
    </cfRule>
    <cfRule type="cellIs" dxfId="5597" priority="3476" operator="between">
      <formula>0.48</formula>
      <formula>0.5</formula>
    </cfRule>
    <cfRule type="cellIs" dxfId="5596" priority="3477" stopIfTrue="1" operator="between">
      <formula>0</formula>
      <formula>0.255</formula>
    </cfRule>
  </conditionalFormatting>
  <conditionalFormatting sqref="V172">
    <cfRule type="cellIs" dxfId="5595" priority="3468" operator="between">
      <formula>0.376</formula>
      <formula>0.475</formula>
    </cfRule>
    <cfRule type="cellIs" dxfId="5594" priority="3469" operator="between">
      <formula>0.2551</formula>
      <formula>0.3751</formula>
    </cfRule>
    <cfRule type="cellIs" dxfId="5593" priority="3470" operator="greaterThan">
      <formula>0.505</formula>
    </cfRule>
    <cfRule type="cellIs" dxfId="5592" priority="3471" operator="between">
      <formula>0.48</formula>
      <formula>0.5</formula>
    </cfRule>
    <cfRule type="cellIs" dxfId="5591" priority="3472" stopIfTrue="1" operator="between">
      <formula>0</formula>
      <formula>0.255</formula>
    </cfRule>
  </conditionalFormatting>
  <conditionalFormatting sqref="S172">
    <cfRule type="cellIs" dxfId="5590" priority="3463" operator="between">
      <formula>0.76</formula>
      <formula>0.95</formula>
    </cfRule>
    <cfRule type="cellIs" dxfId="5589" priority="3464" operator="between">
      <formula>0.51</formula>
      <formula>0.75</formula>
    </cfRule>
    <cfRule type="cellIs" dxfId="5588" priority="3465" operator="greaterThan">
      <formula>1</formula>
    </cfRule>
    <cfRule type="cellIs" dxfId="5587" priority="3466" operator="between">
      <formula>0.95</formula>
      <formula>1</formula>
    </cfRule>
    <cfRule type="cellIs" dxfId="5586" priority="3467" stopIfTrue="1" operator="between">
      <formula>0</formula>
      <formula>0.5</formula>
    </cfRule>
  </conditionalFormatting>
  <conditionalFormatting sqref="K174:L174">
    <cfRule type="cellIs" dxfId="5585" priority="3446" operator="between">
      <formula>0.76</formula>
      <formula>0.95</formula>
    </cfRule>
    <cfRule type="cellIs" dxfId="5584" priority="3447" operator="between">
      <formula>0.51</formula>
      <formula>0.75</formula>
    </cfRule>
    <cfRule type="cellIs" dxfId="5583" priority="3448" operator="greaterThan">
      <formula>1</formula>
    </cfRule>
    <cfRule type="cellIs" dxfId="5582" priority="3449" operator="between">
      <formula>0.96</formula>
      <formula>1</formula>
    </cfRule>
    <cfRule type="cellIs" dxfId="5581" priority="3450" stopIfTrue="1" operator="between">
      <formula>0</formula>
      <formula>0.5</formula>
    </cfRule>
  </conditionalFormatting>
  <conditionalFormatting sqref="O174">
    <cfRule type="cellIs" dxfId="5580" priority="3441" operator="between">
      <formula>0.1876</formula>
      <formula>0.2375</formula>
    </cfRule>
    <cfRule type="cellIs" dxfId="5579" priority="3442" operator="between">
      <formula>0.1251</formula>
      <formula>0.1875</formula>
    </cfRule>
    <cfRule type="cellIs" dxfId="5578" priority="3443" operator="greaterThan">
      <formula>0.25</formula>
    </cfRule>
    <cfRule type="cellIs" dxfId="5577" priority="3444" operator="between">
      <formula>0.2375</formula>
      <formula>0.25</formula>
    </cfRule>
    <cfRule type="cellIs" dxfId="5576" priority="3445" stopIfTrue="1" operator="between">
      <formula>0</formula>
      <formula>0.125</formula>
    </cfRule>
  </conditionalFormatting>
  <conditionalFormatting sqref="M174:N174">
    <cfRule type="cellIs" dxfId="5575" priority="3436" operator="between">
      <formula>0.1876</formula>
      <formula>0.2375</formula>
    </cfRule>
    <cfRule type="cellIs" dxfId="5574" priority="3437" operator="between">
      <formula>0.1251</formula>
      <formula>0.1875</formula>
    </cfRule>
    <cfRule type="cellIs" dxfId="5573" priority="3438" operator="greaterThan">
      <formula>0.25</formula>
    </cfRule>
    <cfRule type="cellIs" dxfId="5572" priority="3439" operator="between">
      <formula>0.2376</formula>
      <formula>0.25</formula>
    </cfRule>
    <cfRule type="cellIs" dxfId="5571" priority="3440" stopIfTrue="1" operator="between">
      <formula>0</formula>
      <formula>0.125</formula>
    </cfRule>
  </conditionalFormatting>
  <conditionalFormatting sqref="R174 Y174:Z174 AF174:AI174">
    <cfRule type="cellIs" dxfId="5570" priority="3431" operator="between">
      <formula>0.76</formula>
      <formula>0.95</formula>
    </cfRule>
    <cfRule type="cellIs" dxfId="5569" priority="3432" operator="between">
      <formula>0.51</formula>
      <formula>0.75</formula>
    </cfRule>
    <cfRule type="cellIs" dxfId="5568" priority="3433" operator="greaterThan">
      <formula>1</formula>
    </cfRule>
    <cfRule type="cellIs" dxfId="5567" priority="3434" operator="between">
      <formula>0.95</formula>
      <formula>1</formula>
    </cfRule>
    <cfRule type="cellIs" dxfId="5566" priority="3435" stopIfTrue="1" operator="between">
      <formula>0</formula>
      <formula>0.5</formula>
    </cfRule>
  </conditionalFormatting>
  <conditionalFormatting sqref="T174">
    <cfRule type="cellIs" dxfId="5565" priority="3426" operator="between">
      <formula>0.3751</formula>
      <formula>0.475</formula>
    </cfRule>
    <cfRule type="cellIs" dxfId="5564" priority="3427" operator="between">
      <formula>0.2551</formula>
      <formula>0.375</formula>
    </cfRule>
    <cfRule type="cellIs" dxfId="5563" priority="3428" operator="greaterThan">
      <formula>0.505</formula>
    </cfRule>
    <cfRule type="cellIs" dxfId="5562" priority="3429" operator="between">
      <formula>0.48</formula>
      <formula>0.5</formula>
    </cfRule>
    <cfRule type="cellIs" dxfId="5561" priority="3430" stopIfTrue="1" operator="between">
      <formula>0</formula>
      <formula>0.255</formula>
    </cfRule>
  </conditionalFormatting>
  <conditionalFormatting sqref="AA174:AC174">
    <cfRule type="cellIs" dxfId="5560" priority="3421" operator="between">
      <formula>0.56251</formula>
      <formula>0.7125</formula>
    </cfRule>
    <cfRule type="cellIs" dxfId="5559" priority="3422" operator="between">
      <formula>0.3751</formula>
      <formula>0.5625</formula>
    </cfRule>
    <cfRule type="cellIs" dxfId="5558" priority="3423" operator="greaterThan">
      <formula>0.751</formula>
    </cfRule>
    <cfRule type="cellIs" dxfId="5557" priority="3424" operator="between">
      <formula>0.71251</formula>
      <formula>0.75</formula>
    </cfRule>
    <cfRule type="cellIs" dxfId="5556" priority="3425" stopIfTrue="1" operator="between">
      <formula>0</formula>
      <formula>0.375</formula>
    </cfRule>
  </conditionalFormatting>
  <conditionalFormatting sqref="U174">
    <cfRule type="cellIs" dxfId="5555" priority="3416" operator="between">
      <formula>0.376</formula>
      <formula>0.475</formula>
    </cfRule>
    <cfRule type="cellIs" dxfId="5554" priority="3417" operator="between">
      <formula>0.2551</formula>
      <formula>0.3751</formula>
    </cfRule>
    <cfRule type="cellIs" dxfId="5553" priority="3418" operator="greaterThan">
      <formula>0.505</formula>
    </cfRule>
    <cfRule type="cellIs" dxfId="5552" priority="3419" operator="between">
      <formula>0.48</formula>
      <formula>0.5</formula>
    </cfRule>
    <cfRule type="cellIs" dxfId="5551" priority="3420" stopIfTrue="1" operator="between">
      <formula>0</formula>
      <formula>0.255</formula>
    </cfRule>
  </conditionalFormatting>
  <conditionalFormatting sqref="V174">
    <cfRule type="cellIs" dxfId="5550" priority="3411" operator="between">
      <formula>0.376</formula>
      <formula>0.475</formula>
    </cfRule>
    <cfRule type="cellIs" dxfId="5549" priority="3412" operator="between">
      <formula>0.2551</formula>
      <formula>0.3751</formula>
    </cfRule>
    <cfRule type="cellIs" dxfId="5548" priority="3413" operator="greaterThan">
      <formula>0.505</formula>
    </cfRule>
    <cfRule type="cellIs" dxfId="5547" priority="3414" operator="between">
      <formula>0.48</formula>
      <formula>0.5</formula>
    </cfRule>
    <cfRule type="cellIs" dxfId="5546" priority="3415" stopIfTrue="1" operator="between">
      <formula>0</formula>
      <formula>0.255</formula>
    </cfRule>
  </conditionalFormatting>
  <conditionalFormatting sqref="S174">
    <cfRule type="cellIs" dxfId="5545" priority="3406" operator="between">
      <formula>0.76</formula>
      <formula>0.95</formula>
    </cfRule>
    <cfRule type="cellIs" dxfId="5544" priority="3407" operator="between">
      <formula>0.51</formula>
      <formula>0.75</formula>
    </cfRule>
    <cfRule type="cellIs" dxfId="5543" priority="3408" operator="greaterThan">
      <formula>1</formula>
    </cfRule>
    <cfRule type="cellIs" dxfId="5542" priority="3409" operator="between">
      <formula>0.95</formula>
      <formula>1</formula>
    </cfRule>
    <cfRule type="cellIs" dxfId="5541" priority="3410" stopIfTrue="1" operator="between">
      <formula>0</formula>
      <formula>0.5</formula>
    </cfRule>
  </conditionalFormatting>
  <conditionalFormatting sqref="K166:L166">
    <cfRule type="cellIs" dxfId="5540" priority="3389" operator="between">
      <formula>0.76</formula>
      <formula>0.95</formula>
    </cfRule>
    <cfRule type="cellIs" dxfId="5539" priority="3390" operator="between">
      <formula>0.51</formula>
      <formula>0.75</formula>
    </cfRule>
    <cfRule type="cellIs" dxfId="5538" priority="3391" operator="greaterThan">
      <formula>1</formula>
    </cfRule>
    <cfRule type="cellIs" dxfId="5537" priority="3392" operator="between">
      <formula>0.96</formula>
      <formula>1</formula>
    </cfRule>
    <cfRule type="cellIs" dxfId="5536" priority="3393" stopIfTrue="1" operator="between">
      <formula>0</formula>
      <formula>0.5</formula>
    </cfRule>
  </conditionalFormatting>
  <conditionalFormatting sqref="O166">
    <cfRule type="cellIs" dxfId="5535" priority="3384" operator="between">
      <formula>0.1876</formula>
      <formula>0.2375</formula>
    </cfRule>
    <cfRule type="cellIs" dxfId="5534" priority="3385" operator="between">
      <formula>0.1251</formula>
      <formula>0.1875</formula>
    </cfRule>
    <cfRule type="cellIs" dxfId="5533" priority="3386" operator="greaterThan">
      <formula>0.25</formula>
    </cfRule>
    <cfRule type="cellIs" dxfId="5532" priority="3387" operator="between">
      <formula>0.2375</formula>
      <formula>0.25</formula>
    </cfRule>
    <cfRule type="cellIs" dxfId="5531" priority="3388" stopIfTrue="1" operator="between">
      <formula>0</formula>
      <formula>0.125</formula>
    </cfRule>
  </conditionalFormatting>
  <conditionalFormatting sqref="M166:N166">
    <cfRule type="cellIs" dxfId="5530" priority="3379" operator="between">
      <formula>0.1876</formula>
      <formula>0.2375</formula>
    </cfRule>
    <cfRule type="cellIs" dxfId="5529" priority="3380" operator="between">
      <formula>0.1251</formula>
      <formula>0.1875</formula>
    </cfRule>
    <cfRule type="cellIs" dxfId="5528" priority="3381" operator="greaterThan">
      <formula>0.25</formula>
    </cfRule>
    <cfRule type="cellIs" dxfId="5527" priority="3382" operator="between">
      <formula>0.2376</formula>
      <formula>0.25</formula>
    </cfRule>
    <cfRule type="cellIs" dxfId="5526" priority="3383" stopIfTrue="1" operator="between">
      <formula>0</formula>
      <formula>0.125</formula>
    </cfRule>
  </conditionalFormatting>
  <conditionalFormatting sqref="AF166:AI166 R166 Y166">
    <cfRule type="cellIs" dxfId="5525" priority="3374" operator="between">
      <formula>0.76</formula>
      <formula>0.95</formula>
    </cfRule>
    <cfRule type="cellIs" dxfId="5524" priority="3375" operator="between">
      <formula>0.51</formula>
      <formula>0.75</formula>
    </cfRule>
    <cfRule type="cellIs" dxfId="5523" priority="3376" operator="greaterThan">
      <formula>1</formula>
    </cfRule>
    <cfRule type="cellIs" dxfId="5522" priority="3377" operator="between">
      <formula>0.95</formula>
      <formula>1</formula>
    </cfRule>
    <cfRule type="cellIs" dxfId="5521" priority="3378" stopIfTrue="1" operator="between">
      <formula>0</formula>
      <formula>0.5</formula>
    </cfRule>
  </conditionalFormatting>
  <conditionalFormatting sqref="T166">
    <cfRule type="cellIs" dxfId="5520" priority="3369" operator="between">
      <formula>0.3751</formula>
      <formula>0.475</formula>
    </cfRule>
    <cfRule type="cellIs" dxfId="5519" priority="3370" operator="between">
      <formula>0.2551</formula>
      <formula>0.375</formula>
    </cfRule>
    <cfRule type="cellIs" dxfId="5518" priority="3371" operator="greaterThan">
      <formula>0.505</formula>
    </cfRule>
    <cfRule type="cellIs" dxfId="5517" priority="3372" operator="between">
      <formula>0.48</formula>
      <formula>0.5</formula>
    </cfRule>
    <cfRule type="cellIs" dxfId="5516" priority="3373" stopIfTrue="1" operator="between">
      <formula>0</formula>
      <formula>0.255</formula>
    </cfRule>
  </conditionalFormatting>
  <conditionalFormatting sqref="AA166:AB166">
    <cfRule type="cellIs" dxfId="5515" priority="3364" operator="between">
      <formula>0.56251</formula>
      <formula>0.7125</formula>
    </cfRule>
    <cfRule type="cellIs" dxfId="5514" priority="3365" operator="between">
      <formula>0.3751</formula>
      <formula>0.5625</formula>
    </cfRule>
    <cfRule type="cellIs" dxfId="5513" priority="3366" operator="greaterThan">
      <formula>0.751</formula>
    </cfRule>
    <cfRule type="cellIs" dxfId="5512" priority="3367" operator="between">
      <formula>0.71251</formula>
      <formula>0.75</formula>
    </cfRule>
    <cfRule type="cellIs" dxfId="5511" priority="3368" stopIfTrue="1" operator="between">
      <formula>0</formula>
      <formula>0.375</formula>
    </cfRule>
  </conditionalFormatting>
  <conditionalFormatting sqref="U166">
    <cfRule type="cellIs" dxfId="5510" priority="3359" operator="between">
      <formula>0.376</formula>
      <formula>0.475</formula>
    </cfRule>
    <cfRule type="cellIs" dxfId="5509" priority="3360" operator="between">
      <formula>0.2551</formula>
      <formula>0.3751</formula>
    </cfRule>
    <cfRule type="cellIs" dxfId="5508" priority="3361" operator="greaterThan">
      <formula>0.505</formula>
    </cfRule>
    <cfRule type="cellIs" dxfId="5507" priority="3362" operator="between">
      <formula>0.48</formula>
      <formula>0.5</formula>
    </cfRule>
    <cfRule type="cellIs" dxfId="5506" priority="3363" stopIfTrue="1" operator="between">
      <formula>0</formula>
      <formula>0.255</formula>
    </cfRule>
  </conditionalFormatting>
  <conditionalFormatting sqref="AC166">
    <cfRule type="cellIs" dxfId="5505" priority="3354" operator="between">
      <formula>0.56251</formula>
      <formula>0.7125</formula>
    </cfRule>
    <cfRule type="cellIs" dxfId="5504" priority="3355" operator="between">
      <formula>0.3751</formula>
      <formula>0.5625</formula>
    </cfRule>
    <cfRule type="cellIs" dxfId="5503" priority="3356" operator="greaterThan">
      <formula>0.751</formula>
    </cfRule>
    <cfRule type="cellIs" dxfId="5502" priority="3357" operator="between">
      <formula>0.71251</formula>
      <formula>0.75</formula>
    </cfRule>
    <cfRule type="cellIs" dxfId="5501" priority="3358" stopIfTrue="1" operator="between">
      <formula>0</formula>
      <formula>0.375</formula>
    </cfRule>
  </conditionalFormatting>
  <conditionalFormatting sqref="V166">
    <cfRule type="cellIs" dxfId="5500" priority="3349" operator="between">
      <formula>0.376</formula>
      <formula>0.475</formula>
    </cfRule>
    <cfRule type="cellIs" dxfId="5499" priority="3350" operator="between">
      <formula>0.2551</formula>
      <formula>0.3751</formula>
    </cfRule>
    <cfRule type="cellIs" dxfId="5498" priority="3351" operator="greaterThan">
      <formula>0.505</formula>
    </cfRule>
    <cfRule type="cellIs" dxfId="5497" priority="3352" operator="between">
      <formula>0.48</formula>
      <formula>0.5</formula>
    </cfRule>
    <cfRule type="cellIs" dxfId="5496" priority="3353" stopIfTrue="1" operator="between">
      <formula>0</formula>
      <formula>0.255</formula>
    </cfRule>
  </conditionalFormatting>
  <conditionalFormatting sqref="Z166">
    <cfRule type="cellIs" dxfId="5495" priority="3344" operator="between">
      <formula>0.76</formula>
      <formula>0.95</formula>
    </cfRule>
    <cfRule type="cellIs" dxfId="5494" priority="3345" operator="between">
      <formula>0.51</formula>
      <formula>0.75</formula>
    </cfRule>
    <cfRule type="cellIs" dxfId="5493" priority="3346" operator="greaterThan">
      <formula>1</formula>
    </cfRule>
    <cfRule type="cellIs" dxfId="5492" priority="3347" operator="between">
      <formula>0.95</formula>
      <formula>1</formula>
    </cfRule>
    <cfRule type="cellIs" dxfId="5491" priority="3348" stopIfTrue="1" operator="between">
      <formula>0</formula>
      <formula>0.5</formula>
    </cfRule>
  </conditionalFormatting>
  <conditionalFormatting sqref="S166">
    <cfRule type="cellIs" dxfId="5490" priority="3339" operator="between">
      <formula>0.76</formula>
      <formula>0.95</formula>
    </cfRule>
    <cfRule type="cellIs" dxfId="5489" priority="3340" operator="between">
      <formula>0.51</formula>
      <formula>0.75</formula>
    </cfRule>
    <cfRule type="cellIs" dxfId="5488" priority="3341" operator="greaterThan">
      <formula>1</formula>
    </cfRule>
    <cfRule type="cellIs" dxfId="5487" priority="3342" operator="between">
      <formula>0.95</formula>
      <formula>1</formula>
    </cfRule>
    <cfRule type="cellIs" dxfId="5486" priority="3343" stopIfTrue="1" operator="between">
      <formula>0</formula>
      <formula>0.5</formula>
    </cfRule>
  </conditionalFormatting>
  <conditionalFormatting sqref="K167:L167">
    <cfRule type="cellIs" dxfId="5485" priority="3255" operator="between">
      <formula>0.76</formula>
      <formula>0.95</formula>
    </cfRule>
    <cfRule type="cellIs" dxfId="5484" priority="3256" operator="between">
      <formula>0.51</formula>
      <formula>0.75</formula>
    </cfRule>
    <cfRule type="cellIs" dxfId="5483" priority="3257" operator="greaterThan">
      <formula>1</formula>
    </cfRule>
    <cfRule type="cellIs" dxfId="5482" priority="3258" operator="between">
      <formula>0.96</formula>
      <formula>1</formula>
    </cfRule>
    <cfRule type="cellIs" dxfId="5481" priority="3259" stopIfTrue="1" operator="between">
      <formula>0</formula>
      <formula>0.5</formula>
    </cfRule>
  </conditionalFormatting>
  <conditionalFormatting sqref="O167">
    <cfRule type="cellIs" dxfId="5480" priority="3250" operator="between">
      <formula>0.1876</formula>
      <formula>0.2375</formula>
    </cfRule>
    <cfRule type="cellIs" dxfId="5479" priority="3251" operator="between">
      <formula>0.1251</formula>
      <formula>0.1875</formula>
    </cfRule>
    <cfRule type="cellIs" dxfId="5478" priority="3252" operator="greaterThan">
      <formula>0.25</formula>
    </cfRule>
    <cfRule type="cellIs" dxfId="5477" priority="3253" operator="between">
      <formula>0.2375</formula>
      <formula>0.25</formula>
    </cfRule>
    <cfRule type="cellIs" dxfId="5476" priority="3254" stopIfTrue="1" operator="between">
      <formula>0</formula>
      <formula>0.125</formula>
    </cfRule>
  </conditionalFormatting>
  <conditionalFormatting sqref="M167:N167">
    <cfRule type="cellIs" dxfId="5475" priority="3245" operator="between">
      <formula>0.1876</formula>
      <formula>0.2375</formula>
    </cfRule>
    <cfRule type="cellIs" dxfId="5474" priority="3246" operator="between">
      <formula>0.1251</formula>
      <formula>0.1875</formula>
    </cfRule>
    <cfRule type="cellIs" dxfId="5473" priority="3247" operator="greaterThan">
      <formula>0.25</formula>
    </cfRule>
    <cfRule type="cellIs" dxfId="5472" priority="3248" operator="between">
      <formula>0.2376</formula>
      <formula>0.25</formula>
    </cfRule>
    <cfRule type="cellIs" dxfId="5471" priority="3249" stopIfTrue="1" operator="between">
      <formula>0</formula>
      <formula>0.125</formula>
    </cfRule>
  </conditionalFormatting>
  <conditionalFormatting sqref="AF167:AI167 R167 Y167">
    <cfRule type="cellIs" dxfId="5470" priority="3240" operator="between">
      <formula>0.76</formula>
      <formula>0.95</formula>
    </cfRule>
    <cfRule type="cellIs" dxfId="5469" priority="3241" operator="between">
      <formula>0.51</formula>
      <formula>0.75</formula>
    </cfRule>
    <cfRule type="cellIs" dxfId="5468" priority="3242" operator="greaterThan">
      <formula>1</formula>
    </cfRule>
    <cfRule type="cellIs" dxfId="5467" priority="3243" operator="between">
      <formula>0.95</formula>
      <formula>1</formula>
    </cfRule>
    <cfRule type="cellIs" dxfId="5466" priority="3244" stopIfTrue="1" operator="between">
      <formula>0</formula>
      <formula>0.5</formula>
    </cfRule>
  </conditionalFormatting>
  <conditionalFormatting sqref="T167">
    <cfRule type="cellIs" dxfId="5465" priority="3235" operator="between">
      <formula>0.3751</formula>
      <formula>0.475</formula>
    </cfRule>
    <cfRule type="cellIs" dxfId="5464" priority="3236" operator="between">
      <formula>0.2551</formula>
      <formula>0.375</formula>
    </cfRule>
    <cfRule type="cellIs" dxfId="5463" priority="3237" operator="greaterThan">
      <formula>0.505</formula>
    </cfRule>
    <cfRule type="cellIs" dxfId="5462" priority="3238" operator="between">
      <formula>0.48</formula>
      <formula>0.5</formula>
    </cfRule>
    <cfRule type="cellIs" dxfId="5461" priority="3239" stopIfTrue="1" operator="between">
      <formula>0</formula>
      <formula>0.255</formula>
    </cfRule>
  </conditionalFormatting>
  <conditionalFormatting sqref="AA167:AB167">
    <cfRule type="cellIs" dxfId="5460" priority="3230" operator="between">
      <formula>0.56251</formula>
      <formula>0.7125</formula>
    </cfRule>
    <cfRule type="cellIs" dxfId="5459" priority="3231" operator="between">
      <formula>0.3751</formula>
      <formula>0.5625</formula>
    </cfRule>
    <cfRule type="cellIs" dxfId="5458" priority="3232" operator="greaterThan">
      <formula>0.751</formula>
    </cfRule>
    <cfRule type="cellIs" dxfId="5457" priority="3233" operator="between">
      <formula>0.71251</formula>
      <formula>0.75</formula>
    </cfRule>
    <cfRule type="cellIs" dxfId="5456" priority="3234" stopIfTrue="1" operator="between">
      <formula>0</formula>
      <formula>0.375</formula>
    </cfRule>
  </conditionalFormatting>
  <conditionalFormatting sqref="U167">
    <cfRule type="cellIs" dxfId="5455" priority="3225" operator="between">
      <formula>0.376</formula>
      <formula>0.475</formula>
    </cfRule>
    <cfRule type="cellIs" dxfId="5454" priority="3226" operator="between">
      <formula>0.2551</formula>
      <formula>0.3751</formula>
    </cfRule>
    <cfRule type="cellIs" dxfId="5453" priority="3227" operator="greaterThan">
      <formula>0.505</formula>
    </cfRule>
    <cfRule type="cellIs" dxfId="5452" priority="3228" operator="between">
      <formula>0.48</formula>
      <formula>0.5</formula>
    </cfRule>
    <cfRule type="cellIs" dxfId="5451" priority="3229" stopIfTrue="1" operator="between">
      <formula>0</formula>
      <formula>0.255</formula>
    </cfRule>
  </conditionalFormatting>
  <conditionalFormatting sqref="AC167">
    <cfRule type="cellIs" dxfId="5450" priority="3220" operator="between">
      <formula>0.56251</formula>
      <formula>0.7125</formula>
    </cfRule>
    <cfRule type="cellIs" dxfId="5449" priority="3221" operator="between">
      <formula>0.3751</formula>
      <formula>0.5625</formula>
    </cfRule>
    <cfRule type="cellIs" dxfId="5448" priority="3222" operator="greaterThan">
      <formula>0.751</formula>
    </cfRule>
    <cfRule type="cellIs" dxfId="5447" priority="3223" operator="between">
      <formula>0.71251</formula>
      <formula>0.75</formula>
    </cfRule>
    <cfRule type="cellIs" dxfId="5446" priority="3224" stopIfTrue="1" operator="between">
      <formula>0</formula>
      <formula>0.375</formula>
    </cfRule>
  </conditionalFormatting>
  <conditionalFormatting sqref="Z167">
    <cfRule type="cellIs" dxfId="5445" priority="3210" operator="between">
      <formula>0.76</formula>
      <formula>0.95</formula>
    </cfRule>
    <cfRule type="cellIs" dxfId="5444" priority="3211" operator="between">
      <formula>0.51</formula>
      <formula>0.75</formula>
    </cfRule>
    <cfRule type="cellIs" dxfId="5443" priority="3212" operator="greaterThan">
      <formula>1</formula>
    </cfRule>
    <cfRule type="cellIs" dxfId="5442" priority="3213" operator="between">
      <formula>0.95</formula>
      <formula>1</formula>
    </cfRule>
    <cfRule type="cellIs" dxfId="5441" priority="3214" stopIfTrue="1" operator="between">
      <formula>0</formula>
      <formula>0.5</formula>
    </cfRule>
  </conditionalFormatting>
  <conditionalFormatting sqref="AH135">
    <cfRule type="cellIs" dxfId="5440" priority="3054" operator="between">
      <formula>0.76</formula>
      <formula>0.95</formula>
    </cfRule>
    <cfRule type="cellIs" dxfId="5439" priority="3055" operator="between">
      <formula>0.51</formula>
      <formula>0.75</formula>
    </cfRule>
    <cfRule type="cellIs" dxfId="5438" priority="3056" operator="greaterThan">
      <formula>1</formula>
    </cfRule>
    <cfRule type="cellIs" dxfId="5437" priority="3057" operator="between">
      <formula>0.95</formula>
      <formula>1</formula>
    </cfRule>
    <cfRule type="cellIs" dxfId="5436" priority="3058" stopIfTrue="1" operator="between">
      <formula>0</formula>
      <formula>0.5</formula>
    </cfRule>
  </conditionalFormatting>
  <conditionalFormatting sqref="AC238">
    <cfRule type="cellIs" dxfId="5435" priority="3126" operator="between">
      <formula>0.56251</formula>
      <formula>0.7125</formula>
    </cfRule>
    <cfRule type="cellIs" dxfId="5434" priority="3127" operator="between">
      <formula>0.3751</formula>
      <formula>0.5625</formula>
    </cfRule>
    <cfRule type="cellIs" dxfId="5433" priority="3128" operator="greaterThan">
      <formula>0.751</formula>
    </cfRule>
    <cfRule type="cellIs" dxfId="5432" priority="3129" operator="between">
      <formula>0.71251</formula>
      <formula>0.75</formula>
    </cfRule>
    <cfRule type="cellIs" dxfId="5431" priority="3130" stopIfTrue="1" operator="between">
      <formula>0</formula>
      <formula>0.375</formula>
    </cfRule>
  </conditionalFormatting>
  <conditionalFormatting sqref="AC135">
    <cfRule type="cellIs" dxfId="5430" priority="3034" operator="between">
      <formula>0.56251</formula>
      <formula>0.7125</formula>
    </cfRule>
    <cfRule type="cellIs" dxfId="5429" priority="3035" operator="between">
      <formula>0.3751</formula>
      <formula>0.5625</formula>
    </cfRule>
    <cfRule type="cellIs" dxfId="5428" priority="3036" operator="greaterThan">
      <formula>0.751</formula>
    </cfRule>
    <cfRule type="cellIs" dxfId="5427" priority="3037" operator="between">
      <formula>0.71251</formula>
      <formula>0.75</formula>
    </cfRule>
    <cfRule type="cellIs" dxfId="5426" priority="3038" stopIfTrue="1" operator="between">
      <formula>0</formula>
      <formula>0.375</formula>
    </cfRule>
  </conditionalFormatting>
  <conditionalFormatting sqref="S238">
    <cfRule type="cellIs" dxfId="5425" priority="3106" operator="between">
      <formula>0.76</formula>
      <formula>0.95</formula>
    </cfRule>
    <cfRule type="cellIs" dxfId="5424" priority="3107" operator="between">
      <formula>0.51</formula>
      <formula>0.75</formula>
    </cfRule>
    <cfRule type="cellIs" dxfId="5423" priority="3108" operator="greaterThan">
      <formula>1</formula>
    </cfRule>
    <cfRule type="cellIs" dxfId="5422" priority="3109" operator="between">
      <formula>0.95</formula>
      <formula>1</formula>
    </cfRule>
    <cfRule type="cellIs" dxfId="5421" priority="3110" stopIfTrue="1" operator="between">
      <formula>0</formula>
      <formula>0.5</formula>
    </cfRule>
  </conditionalFormatting>
  <conditionalFormatting sqref="R237 AF237:AI237 K237:L237">
    <cfRule type="cellIs" dxfId="5420" priority="3188" operator="between">
      <formula>0.76</formula>
      <formula>0.95</formula>
    </cfRule>
    <cfRule type="cellIs" dxfId="5419" priority="3189" operator="between">
      <formula>0.51</formula>
      <formula>0.75</formula>
    </cfRule>
    <cfRule type="cellIs" dxfId="5418" priority="3190" operator="greaterThan">
      <formula>1</formula>
    </cfRule>
    <cfRule type="cellIs" dxfId="5417" priority="3191" operator="between">
      <formula>0.96</formula>
      <formula>1</formula>
    </cfRule>
    <cfRule type="cellIs" dxfId="5416" priority="3192" stopIfTrue="1" operator="between">
      <formula>0</formula>
      <formula>0.5</formula>
    </cfRule>
  </conditionalFormatting>
  <conditionalFormatting sqref="O237">
    <cfRule type="cellIs" dxfId="5415" priority="3173" operator="between">
      <formula>0.1876</formula>
      <formula>0.2375</formula>
    </cfRule>
    <cfRule type="cellIs" dxfId="5414" priority="3174" operator="between">
      <formula>0.1251</formula>
      <formula>0.1875</formula>
    </cfRule>
    <cfRule type="cellIs" dxfId="5413" priority="3175" operator="greaterThan">
      <formula>0.25</formula>
    </cfRule>
    <cfRule type="cellIs" dxfId="5412" priority="3176" operator="between">
      <formula>0.2375</formula>
      <formula>0.25</formula>
    </cfRule>
    <cfRule type="cellIs" dxfId="5411" priority="3177" stopIfTrue="1" operator="between">
      <formula>0</formula>
      <formula>0.125</formula>
    </cfRule>
  </conditionalFormatting>
  <conditionalFormatting sqref="M237:N237">
    <cfRule type="cellIs" dxfId="5410" priority="3168" operator="between">
      <formula>0.1876</formula>
      <formula>0.2375</formula>
    </cfRule>
    <cfRule type="cellIs" dxfId="5409" priority="3169" operator="between">
      <formula>0.1251</formula>
      <formula>0.1875</formula>
    </cfRule>
    <cfRule type="cellIs" dxfId="5408" priority="3170" operator="greaterThan">
      <formula>0.25</formula>
    </cfRule>
    <cfRule type="cellIs" dxfId="5407" priority="3171" operator="between">
      <formula>0.2376</formula>
      <formula>0.25</formula>
    </cfRule>
    <cfRule type="cellIs" dxfId="5406" priority="3172" stopIfTrue="1" operator="between">
      <formula>0</formula>
      <formula>0.125</formula>
    </cfRule>
  </conditionalFormatting>
  <conditionalFormatting sqref="S237">
    <cfRule type="cellIs" dxfId="5405" priority="3158" operator="between">
      <formula>0.76</formula>
      <formula>0.95</formula>
    </cfRule>
    <cfRule type="cellIs" dxfId="5404" priority="3159" operator="between">
      <formula>0.51</formula>
      <formula>0.75</formula>
    </cfRule>
    <cfRule type="cellIs" dxfId="5403" priority="3160" operator="greaterThan">
      <formula>1</formula>
    </cfRule>
    <cfRule type="cellIs" dxfId="5402" priority="3161" operator="between">
      <formula>0.95</formula>
      <formula>1</formula>
    </cfRule>
    <cfRule type="cellIs" dxfId="5401" priority="3162" stopIfTrue="1" operator="between">
      <formula>0</formula>
      <formula>0.5</formula>
    </cfRule>
  </conditionalFormatting>
  <conditionalFormatting sqref="V237">
    <cfRule type="cellIs" dxfId="5400" priority="3153" operator="between">
      <formula>0.376</formula>
      <formula>0.475</formula>
    </cfRule>
    <cfRule type="cellIs" dxfId="5399" priority="3154" operator="between">
      <formula>0.2551</formula>
      <formula>0.3751</formula>
    </cfRule>
    <cfRule type="cellIs" dxfId="5398" priority="3155" operator="greaterThan">
      <formula>0.505</formula>
    </cfRule>
    <cfRule type="cellIs" dxfId="5397" priority="3156" operator="between">
      <formula>0.48</formula>
      <formula>0.5</formula>
    </cfRule>
    <cfRule type="cellIs" dxfId="5396" priority="3157" stopIfTrue="1" operator="between">
      <formula>0</formula>
      <formula>0.255</formula>
    </cfRule>
  </conditionalFormatting>
  <conditionalFormatting sqref="R238 Y238 AF238:AI238 K238:L238">
    <cfRule type="cellIs" dxfId="5395" priority="3136" operator="between">
      <formula>0.76</formula>
      <formula>0.95</formula>
    </cfRule>
    <cfRule type="cellIs" dxfId="5394" priority="3137" operator="between">
      <formula>0.51</formula>
      <formula>0.75</formula>
    </cfRule>
    <cfRule type="cellIs" dxfId="5393" priority="3138" operator="greaterThan">
      <formula>1</formula>
    </cfRule>
    <cfRule type="cellIs" dxfId="5392" priority="3139" operator="between">
      <formula>0.96</formula>
      <formula>1</formula>
    </cfRule>
    <cfRule type="cellIs" dxfId="5391" priority="3140" stopIfTrue="1" operator="between">
      <formula>0</formula>
      <formula>0.5</formula>
    </cfRule>
  </conditionalFormatting>
  <conditionalFormatting sqref="T135">
    <cfRule type="cellIs" dxfId="5390" priority="3049" operator="between">
      <formula>0.3751</formula>
      <formula>0.475</formula>
    </cfRule>
    <cfRule type="cellIs" dxfId="5389" priority="3050" operator="between">
      <formula>0.2551</formula>
      <formula>0.375</formula>
    </cfRule>
    <cfRule type="cellIs" dxfId="5388" priority="3051" operator="greaterThan">
      <formula>0.505</formula>
    </cfRule>
    <cfRule type="cellIs" dxfId="5387" priority="3052" operator="between">
      <formula>0.48</formula>
      <formula>0.5</formula>
    </cfRule>
    <cfRule type="cellIs" dxfId="5386" priority="3053" stopIfTrue="1" operator="between">
      <formula>0</formula>
      <formula>0.255</formula>
    </cfRule>
  </conditionalFormatting>
  <conditionalFormatting sqref="O238">
    <cfRule type="cellIs" dxfId="5385" priority="3121" operator="between">
      <formula>0.1876</formula>
      <formula>0.2375</formula>
    </cfRule>
    <cfRule type="cellIs" dxfId="5384" priority="3122" operator="between">
      <formula>0.1251</formula>
      <formula>0.1875</formula>
    </cfRule>
    <cfRule type="cellIs" dxfId="5383" priority="3123" operator="greaterThan">
      <formula>0.25</formula>
    </cfRule>
    <cfRule type="cellIs" dxfId="5382" priority="3124" operator="between">
      <formula>0.2375</formula>
      <formula>0.25</formula>
    </cfRule>
    <cfRule type="cellIs" dxfId="5381" priority="3125" stopIfTrue="1" operator="between">
      <formula>0</formula>
      <formula>0.125</formula>
    </cfRule>
  </conditionalFormatting>
  <conditionalFormatting sqref="M238:N238">
    <cfRule type="cellIs" dxfId="5380" priority="3116" operator="between">
      <formula>0.1876</formula>
      <formula>0.2375</formula>
    </cfRule>
    <cfRule type="cellIs" dxfId="5379" priority="3117" operator="between">
      <formula>0.1251</formula>
      <formula>0.1875</formula>
    </cfRule>
    <cfRule type="cellIs" dxfId="5378" priority="3118" operator="greaterThan">
      <formula>0.25</formula>
    </cfRule>
    <cfRule type="cellIs" dxfId="5377" priority="3119" operator="between">
      <formula>0.2376</formula>
      <formula>0.25</formula>
    </cfRule>
    <cfRule type="cellIs" dxfId="5376" priority="3120" stopIfTrue="1" operator="between">
      <formula>0</formula>
      <formula>0.125</formula>
    </cfRule>
  </conditionalFormatting>
  <conditionalFormatting sqref="V238">
    <cfRule type="cellIs" dxfId="5375" priority="3101" operator="between">
      <formula>0.376</formula>
      <formula>0.475</formula>
    </cfRule>
    <cfRule type="cellIs" dxfId="5374" priority="3102" operator="between">
      <formula>0.2551</formula>
      <formula>0.3751</formula>
    </cfRule>
    <cfRule type="cellIs" dxfId="5373" priority="3103" operator="greaterThan">
      <formula>0.505</formula>
    </cfRule>
    <cfRule type="cellIs" dxfId="5372" priority="3104" operator="between">
      <formula>0.48</formula>
      <formula>0.5</formula>
    </cfRule>
    <cfRule type="cellIs" dxfId="5371" priority="3105" stopIfTrue="1" operator="between">
      <formula>0</formula>
      <formula>0.255</formula>
    </cfRule>
  </conditionalFormatting>
  <conditionalFormatting sqref="O135">
    <cfRule type="cellIs" dxfId="5370" priority="3084" operator="between">
      <formula>0.1876</formula>
      <formula>0.2375</formula>
    </cfRule>
    <cfRule type="cellIs" dxfId="5369" priority="3085" operator="between">
      <formula>0.1251</formula>
      <formula>0.1875</formula>
    </cfRule>
    <cfRule type="cellIs" dxfId="5368" priority="3086" operator="greaterThan">
      <formula>0.25</formula>
    </cfRule>
    <cfRule type="cellIs" dxfId="5367" priority="3087" operator="between">
      <formula>0.2375</formula>
      <formula>0.25</formula>
    </cfRule>
    <cfRule type="cellIs" dxfId="5366" priority="3088" stopIfTrue="1" operator="between">
      <formula>0</formula>
      <formula>0.125</formula>
    </cfRule>
  </conditionalFormatting>
  <conditionalFormatting sqref="AG135 AI135 S135 Z135">
    <cfRule type="cellIs" dxfId="5365" priority="3074" operator="between">
      <formula>0.76</formula>
      <formula>0.95</formula>
    </cfRule>
    <cfRule type="cellIs" dxfId="5364" priority="3075" operator="between">
      <formula>0.51</formula>
      <formula>0.75</formula>
    </cfRule>
    <cfRule type="cellIs" dxfId="5363" priority="3076" operator="greaterThan">
      <formula>1</formula>
    </cfRule>
    <cfRule type="cellIs" dxfId="5362" priority="3077" operator="between">
      <formula>0.95</formula>
      <formula>1</formula>
    </cfRule>
    <cfRule type="cellIs" dxfId="5361" priority="3078" stopIfTrue="1" operator="between">
      <formula>0</formula>
      <formula>0.5</formula>
    </cfRule>
  </conditionalFormatting>
  <conditionalFormatting sqref="R135">
    <cfRule type="cellIs" dxfId="5360" priority="3069" operator="between">
      <formula>0.76</formula>
      <formula>0.95</formula>
    </cfRule>
    <cfRule type="cellIs" dxfId="5359" priority="3070" operator="between">
      <formula>0.51</formula>
      <formula>0.75</formula>
    </cfRule>
    <cfRule type="cellIs" dxfId="5358" priority="3071" operator="greaterThan">
      <formula>1</formula>
    </cfRule>
    <cfRule type="cellIs" dxfId="5357" priority="3072" operator="between">
      <formula>0.95</formula>
      <formula>1</formula>
    </cfRule>
    <cfRule type="cellIs" dxfId="5356" priority="3073" stopIfTrue="1" operator="between">
      <formula>0</formula>
      <formula>0.5</formula>
    </cfRule>
  </conditionalFormatting>
  <conditionalFormatting sqref="Y135">
    <cfRule type="cellIs" dxfId="5355" priority="3064" operator="between">
      <formula>0.76</formula>
      <formula>0.95</formula>
    </cfRule>
    <cfRule type="cellIs" dxfId="5354" priority="3065" operator="between">
      <formula>0.51</formula>
      <formula>0.75</formula>
    </cfRule>
    <cfRule type="cellIs" dxfId="5353" priority="3066" operator="greaterThan">
      <formula>1</formula>
    </cfRule>
    <cfRule type="cellIs" dxfId="5352" priority="3067" operator="between">
      <formula>0.95</formula>
      <formula>1</formula>
    </cfRule>
    <cfRule type="cellIs" dxfId="5351" priority="3068" stopIfTrue="1" operator="between">
      <formula>0</formula>
      <formula>0.5</formula>
    </cfRule>
  </conditionalFormatting>
  <conditionalFormatting sqref="AF135">
    <cfRule type="cellIs" dxfId="5350" priority="3059" operator="between">
      <formula>0.76</formula>
      <formula>0.95</formula>
    </cfRule>
    <cfRule type="cellIs" dxfId="5349" priority="3060" operator="between">
      <formula>0.51</formula>
      <formula>0.75</formula>
    </cfRule>
    <cfRule type="cellIs" dxfId="5348" priority="3061" operator="greaterThan">
      <formula>1</formula>
    </cfRule>
    <cfRule type="cellIs" dxfId="5347" priority="3062" operator="between">
      <formula>0.95</formula>
      <formula>1</formula>
    </cfRule>
    <cfRule type="cellIs" dxfId="5346" priority="3063" stopIfTrue="1" operator="between">
      <formula>0</formula>
      <formula>0.5</formula>
    </cfRule>
  </conditionalFormatting>
  <conditionalFormatting sqref="U135:V135">
    <cfRule type="cellIs" dxfId="5345" priority="3044" operator="between">
      <formula>0.376</formula>
      <formula>0.475</formula>
    </cfRule>
    <cfRule type="cellIs" dxfId="5344" priority="3045" operator="between">
      <formula>0.2551</formula>
      <formula>0.3751</formula>
    </cfRule>
    <cfRule type="cellIs" dxfId="5343" priority="3046" operator="greaterThan">
      <formula>0.505</formula>
    </cfRule>
    <cfRule type="cellIs" dxfId="5342" priority="3047" operator="between">
      <formula>0.48</formula>
      <formula>0.5</formula>
    </cfRule>
    <cfRule type="cellIs" dxfId="5341" priority="3048" stopIfTrue="1" operator="between">
      <formula>0</formula>
      <formula>0.255</formula>
    </cfRule>
  </conditionalFormatting>
  <conditionalFormatting sqref="AA135">
    <cfRule type="cellIs" dxfId="5340" priority="3039" operator="between">
      <formula>0.56251</formula>
      <formula>0.7125</formula>
    </cfRule>
    <cfRule type="cellIs" dxfId="5339" priority="3040" operator="between">
      <formula>0.3751</formula>
      <formula>0.5625</formula>
    </cfRule>
    <cfRule type="cellIs" dxfId="5338" priority="3041" operator="greaterThan">
      <formula>0.751</formula>
    </cfRule>
    <cfRule type="cellIs" dxfId="5337" priority="3042" operator="between">
      <formula>0.71251</formula>
      <formula>0.75</formula>
    </cfRule>
    <cfRule type="cellIs" dxfId="5336" priority="3043" stopIfTrue="1" operator="between">
      <formula>0</formula>
      <formula>0.375</formula>
    </cfRule>
  </conditionalFormatting>
  <conditionalFormatting sqref="AB135">
    <cfRule type="cellIs" dxfId="5335" priority="3029" operator="between">
      <formula>0.56251</formula>
      <formula>0.7125</formula>
    </cfRule>
    <cfRule type="cellIs" dxfId="5334" priority="3030" operator="between">
      <formula>0.3751</formula>
      <formula>0.5625</formula>
    </cfRule>
    <cfRule type="cellIs" dxfId="5333" priority="3031" operator="greaterThan">
      <formula>0.751</formula>
    </cfRule>
    <cfRule type="cellIs" dxfId="5332" priority="3032" operator="between">
      <formula>0.71251</formula>
      <formula>0.75</formula>
    </cfRule>
    <cfRule type="cellIs" dxfId="5331" priority="3033" stopIfTrue="1" operator="between">
      <formula>0</formula>
      <formula>0.375</formula>
    </cfRule>
  </conditionalFormatting>
  <conditionalFormatting sqref="L135">
    <cfRule type="cellIs" dxfId="5330" priority="3012" operator="between">
      <formula>0.76</formula>
      <formula>0.95</formula>
    </cfRule>
    <cfRule type="cellIs" dxfId="5329" priority="3013" operator="between">
      <formula>0.51</formula>
      <formula>0.75</formula>
    </cfRule>
    <cfRule type="cellIs" dxfId="5328" priority="3014" operator="greaterThan">
      <formula>1</formula>
    </cfRule>
    <cfRule type="cellIs" dxfId="5327" priority="3015" operator="between">
      <formula>0.96</formula>
      <formula>1</formula>
    </cfRule>
    <cfRule type="cellIs" dxfId="5326" priority="3016" stopIfTrue="1" operator="between">
      <formula>0</formula>
      <formula>0.5</formula>
    </cfRule>
  </conditionalFormatting>
  <conditionalFormatting sqref="K202:L202">
    <cfRule type="cellIs" dxfId="5325" priority="3002" operator="between">
      <formula>0.76</formula>
      <formula>0.95</formula>
    </cfRule>
    <cfRule type="cellIs" dxfId="5324" priority="3003" operator="between">
      <formula>0.51</formula>
      <formula>0.75</formula>
    </cfRule>
    <cfRule type="cellIs" dxfId="5323" priority="3004" operator="greaterThan">
      <formula>1</formula>
    </cfRule>
    <cfRule type="cellIs" dxfId="5322" priority="3005" operator="between">
      <formula>0.96</formula>
      <formula>1</formula>
    </cfRule>
    <cfRule type="cellIs" dxfId="5321" priority="3006" stopIfTrue="1" operator="between">
      <formula>0</formula>
      <formula>0.5</formula>
    </cfRule>
  </conditionalFormatting>
  <conditionalFormatting sqref="AI202">
    <cfRule type="cellIs" dxfId="5320" priority="2997" operator="between">
      <formula>0.76</formula>
      <formula>0.95</formula>
    </cfRule>
    <cfRule type="cellIs" dxfId="5319" priority="2998" operator="between">
      <formula>0.51</formula>
      <formula>0.75</formula>
    </cfRule>
    <cfRule type="cellIs" dxfId="5318" priority="2999" operator="greaterThan">
      <formula>1</formula>
    </cfRule>
    <cfRule type="cellIs" dxfId="5317" priority="3000" operator="between">
      <formula>0.95</formula>
      <formula>1</formula>
    </cfRule>
    <cfRule type="cellIs" dxfId="5316" priority="3001" stopIfTrue="1" operator="between">
      <formula>0</formula>
      <formula>0.5</formula>
    </cfRule>
  </conditionalFormatting>
  <conditionalFormatting sqref="R202">
    <cfRule type="cellIs" dxfId="5315" priority="2992" operator="between">
      <formula>0.76</formula>
      <formula>0.95</formula>
    </cfRule>
    <cfRule type="cellIs" dxfId="5314" priority="2993" operator="between">
      <formula>0.51</formula>
      <formula>0.75</formula>
    </cfRule>
    <cfRule type="cellIs" dxfId="5313" priority="2994" operator="greaterThan">
      <formula>1</formula>
    </cfRule>
    <cfRule type="cellIs" dxfId="5312" priority="2995" operator="between">
      <formula>0.95</formula>
      <formula>1</formula>
    </cfRule>
    <cfRule type="cellIs" dxfId="5311" priority="2996" stopIfTrue="1" operator="between">
      <formula>0</formula>
      <formula>0.5</formula>
    </cfRule>
  </conditionalFormatting>
  <conditionalFormatting sqref="Y202">
    <cfRule type="cellIs" dxfId="5310" priority="2987" operator="between">
      <formula>0.76</formula>
      <formula>0.95</formula>
    </cfRule>
    <cfRule type="cellIs" dxfId="5309" priority="2988" operator="between">
      <formula>0.51</formula>
      <formula>0.75</formula>
    </cfRule>
    <cfRule type="cellIs" dxfId="5308" priority="2989" operator="greaterThan">
      <formula>1</formula>
    </cfRule>
    <cfRule type="cellIs" dxfId="5307" priority="2990" operator="between">
      <formula>0.95</formula>
      <formula>1</formula>
    </cfRule>
    <cfRule type="cellIs" dxfId="5306" priority="2991" stopIfTrue="1" operator="between">
      <formula>0</formula>
      <formula>0.5</formula>
    </cfRule>
  </conditionalFormatting>
  <conditionalFormatting sqref="AF202">
    <cfRule type="cellIs" dxfId="5305" priority="2982" operator="between">
      <formula>0.76</formula>
      <formula>0.95</formula>
    </cfRule>
    <cfRule type="cellIs" dxfId="5304" priority="2983" operator="between">
      <formula>0.51</formula>
      <formula>0.75</formula>
    </cfRule>
    <cfRule type="cellIs" dxfId="5303" priority="2984" operator="greaterThan">
      <formula>1</formula>
    </cfRule>
    <cfRule type="cellIs" dxfId="5302" priority="2985" operator="between">
      <formula>0.95</formula>
      <formula>1</formula>
    </cfRule>
    <cfRule type="cellIs" dxfId="5301" priority="2986" stopIfTrue="1" operator="between">
      <formula>0</formula>
      <formula>0.5</formula>
    </cfRule>
  </conditionalFormatting>
  <conditionalFormatting sqref="AH202">
    <cfRule type="cellIs" dxfId="5300" priority="2977" operator="between">
      <formula>0.76</formula>
      <formula>0.95</formula>
    </cfRule>
    <cfRule type="cellIs" dxfId="5299" priority="2978" operator="between">
      <formula>0.51</formula>
      <formula>0.75</formula>
    </cfRule>
    <cfRule type="cellIs" dxfId="5298" priority="2979" operator="greaterThan">
      <formula>1</formula>
    </cfRule>
    <cfRule type="cellIs" dxfId="5297" priority="2980" operator="between">
      <formula>0.95</formula>
      <formula>1</formula>
    </cfRule>
    <cfRule type="cellIs" dxfId="5296" priority="2981" stopIfTrue="1" operator="between">
      <formula>0</formula>
      <formula>0.5</formula>
    </cfRule>
  </conditionalFormatting>
  <conditionalFormatting sqref="T202">
    <cfRule type="cellIs" dxfId="5295" priority="2972" operator="between">
      <formula>0.3751</formula>
      <formula>0.475</formula>
    </cfRule>
    <cfRule type="cellIs" dxfId="5294" priority="2973" operator="between">
      <formula>0.2551</formula>
      <formula>0.375</formula>
    </cfRule>
    <cfRule type="cellIs" dxfId="5293" priority="2974" operator="greaterThan">
      <formula>0.505</formula>
    </cfRule>
    <cfRule type="cellIs" dxfId="5292" priority="2975" operator="between">
      <formula>0.48</formula>
      <formula>0.5</formula>
    </cfRule>
    <cfRule type="cellIs" dxfId="5291" priority="2976" stopIfTrue="1" operator="between">
      <formula>0</formula>
      <formula>0.255</formula>
    </cfRule>
  </conditionalFormatting>
  <conditionalFormatting sqref="U202:V202">
    <cfRule type="cellIs" dxfId="5290" priority="2967" operator="between">
      <formula>0.376</formula>
      <formula>0.475</formula>
    </cfRule>
    <cfRule type="cellIs" dxfId="5289" priority="2968" operator="between">
      <formula>0.2551</formula>
      <formula>0.3751</formula>
    </cfRule>
    <cfRule type="cellIs" dxfId="5288" priority="2969" operator="greaterThan">
      <formula>0.505</formula>
    </cfRule>
    <cfRule type="cellIs" dxfId="5287" priority="2970" operator="between">
      <formula>0.48</formula>
      <formula>0.5</formula>
    </cfRule>
    <cfRule type="cellIs" dxfId="5286" priority="2971" stopIfTrue="1" operator="between">
      <formula>0</formula>
      <formula>0.255</formula>
    </cfRule>
  </conditionalFormatting>
  <conditionalFormatting sqref="AA202">
    <cfRule type="cellIs" dxfId="5285" priority="2962" operator="between">
      <formula>0.56251</formula>
      <formula>0.7125</formula>
    </cfRule>
    <cfRule type="cellIs" dxfId="5284" priority="2963" operator="between">
      <formula>0.3751</formula>
      <formula>0.5625</formula>
    </cfRule>
    <cfRule type="cellIs" dxfId="5283" priority="2964" operator="greaterThan">
      <formula>0.751</formula>
    </cfRule>
    <cfRule type="cellIs" dxfId="5282" priority="2965" operator="between">
      <formula>0.71251</formula>
      <formula>0.75</formula>
    </cfRule>
    <cfRule type="cellIs" dxfId="5281" priority="2966" stopIfTrue="1" operator="between">
      <formula>0</formula>
      <formula>0.375</formula>
    </cfRule>
  </conditionalFormatting>
  <conditionalFormatting sqref="AC202">
    <cfRule type="cellIs" dxfId="5280" priority="2957" operator="between">
      <formula>0.56251</formula>
      <formula>0.7125</formula>
    </cfRule>
    <cfRule type="cellIs" dxfId="5279" priority="2958" operator="between">
      <formula>0.3751</formula>
      <formula>0.5625</formula>
    </cfRule>
    <cfRule type="cellIs" dxfId="5278" priority="2959" operator="greaterThan">
      <formula>0.751</formula>
    </cfRule>
    <cfRule type="cellIs" dxfId="5277" priority="2960" operator="between">
      <formula>0.71251</formula>
      <formula>0.75</formula>
    </cfRule>
    <cfRule type="cellIs" dxfId="5276" priority="2961" stopIfTrue="1" operator="between">
      <formula>0</formula>
      <formula>0.375</formula>
    </cfRule>
  </conditionalFormatting>
  <conditionalFormatting sqref="AB202">
    <cfRule type="cellIs" dxfId="5275" priority="2952" operator="between">
      <formula>0.56251</formula>
      <formula>0.7125</formula>
    </cfRule>
    <cfRule type="cellIs" dxfId="5274" priority="2953" operator="between">
      <formula>0.3751</formula>
      <formula>0.5625</formula>
    </cfRule>
    <cfRule type="cellIs" dxfId="5273" priority="2954" operator="greaterThan">
      <formula>0.751</formula>
    </cfRule>
    <cfRule type="cellIs" dxfId="5272" priority="2955" operator="between">
      <formula>0.71251</formula>
      <formula>0.75</formula>
    </cfRule>
    <cfRule type="cellIs" dxfId="5271" priority="2956" stopIfTrue="1" operator="between">
      <formula>0</formula>
      <formula>0.375</formula>
    </cfRule>
  </conditionalFormatting>
  <conditionalFormatting sqref="S202">
    <cfRule type="cellIs" dxfId="5270" priority="2947" operator="between">
      <formula>0.76</formula>
      <formula>0.95</formula>
    </cfRule>
    <cfRule type="cellIs" dxfId="5269" priority="2948" operator="between">
      <formula>0.51</formula>
      <formula>0.75</formula>
    </cfRule>
    <cfRule type="cellIs" dxfId="5268" priority="2949" operator="greaterThan">
      <formula>1</formula>
    </cfRule>
    <cfRule type="cellIs" dxfId="5267" priority="2950" operator="between">
      <formula>0.95</formula>
      <formula>1</formula>
    </cfRule>
    <cfRule type="cellIs" dxfId="5266" priority="2951" stopIfTrue="1" operator="between">
      <formula>0</formula>
      <formula>0.5</formula>
    </cfRule>
  </conditionalFormatting>
  <conditionalFormatting sqref="Z202">
    <cfRule type="cellIs" dxfId="5265" priority="2942" operator="between">
      <formula>0.76</formula>
      <formula>0.95</formula>
    </cfRule>
    <cfRule type="cellIs" dxfId="5264" priority="2943" operator="between">
      <formula>0.51</formula>
      <formula>0.75</formula>
    </cfRule>
    <cfRule type="cellIs" dxfId="5263" priority="2944" operator="greaterThan">
      <formula>1</formula>
    </cfRule>
    <cfRule type="cellIs" dxfId="5262" priority="2945" operator="between">
      <formula>0.95</formula>
      <formula>1</formula>
    </cfRule>
    <cfRule type="cellIs" dxfId="5261" priority="2946" stopIfTrue="1" operator="between">
      <formula>0</formula>
      <formula>0.5</formula>
    </cfRule>
  </conditionalFormatting>
  <conditionalFormatting sqref="M202">
    <cfRule type="cellIs" dxfId="5260" priority="2925" operator="between">
      <formula>0.1876</formula>
      <formula>0.2375</formula>
    </cfRule>
    <cfRule type="cellIs" dxfId="5259" priority="2926" operator="between">
      <formula>0.1251</formula>
      <formula>0.1875</formula>
    </cfRule>
    <cfRule type="cellIs" dxfId="5258" priority="2927" operator="greaterThan">
      <formula>0.25</formula>
    </cfRule>
    <cfRule type="cellIs" dxfId="5257" priority="2928" operator="between">
      <formula>0.2376</formula>
      <formula>0.25</formula>
    </cfRule>
    <cfRule type="cellIs" dxfId="5256" priority="2929" stopIfTrue="1" operator="between">
      <formula>0</formula>
      <formula>0.125</formula>
    </cfRule>
  </conditionalFormatting>
  <conditionalFormatting sqref="N202">
    <cfRule type="cellIs" dxfId="5255" priority="2920" operator="between">
      <formula>0.1876</formula>
      <formula>0.2375</formula>
    </cfRule>
    <cfRule type="cellIs" dxfId="5254" priority="2921" operator="between">
      <formula>0.1251</formula>
      <formula>0.1875</formula>
    </cfRule>
    <cfRule type="cellIs" dxfId="5253" priority="2922" operator="greaterThan">
      <formula>0.25</formula>
    </cfRule>
    <cfRule type="cellIs" dxfId="5252" priority="2923" operator="between">
      <formula>0.2376</formula>
      <formula>0.25</formula>
    </cfRule>
    <cfRule type="cellIs" dxfId="5251" priority="2924" stopIfTrue="1" operator="between">
      <formula>0</formula>
      <formula>0.125</formula>
    </cfRule>
  </conditionalFormatting>
  <conditionalFormatting sqref="O202">
    <cfRule type="cellIs" dxfId="5250" priority="2915" operator="between">
      <formula>0.1876</formula>
      <formula>0.2375</formula>
    </cfRule>
    <cfRule type="cellIs" dxfId="5249" priority="2916" operator="between">
      <formula>0.1251</formula>
      <formula>0.1875</formula>
    </cfRule>
    <cfRule type="cellIs" dxfId="5248" priority="2917" operator="greaterThan">
      <formula>0.25</formula>
    </cfRule>
    <cfRule type="cellIs" dxfId="5247" priority="2918" operator="between">
      <formula>0.2375</formula>
      <formula>0.25</formula>
    </cfRule>
    <cfRule type="cellIs" dxfId="5246" priority="2919" stopIfTrue="1" operator="between">
      <formula>0</formula>
      <formula>0.125</formula>
    </cfRule>
  </conditionalFormatting>
  <conditionalFormatting sqref="AG202">
    <cfRule type="cellIs" dxfId="5245" priority="2910" operator="between">
      <formula>0.76</formula>
      <formula>0.95</formula>
    </cfRule>
    <cfRule type="cellIs" dxfId="5244" priority="2911" operator="between">
      <formula>0.51</formula>
      <formula>0.75</formula>
    </cfRule>
    <cfRule type="cellIs" dxfId="5243" priority="2912" operator="greaterThan">
      <formula>1</formula>
    </cfRule>
    <cfRule type="cellIs" dxfId="5242" priority="2913" operator="between">
      <formula>0.95</formula>
      <formula>1</formula>
    </cfRule>
    <cfRule type="cellIs" dxfId="5241" priority="2914" stopIfTrue="1" operator="between">
      <formula>0</formula>
      <formula>0.5</formula>
    </cfRule>
  </conditionalFormatting>
  <conditionalFormatting sqref="N30">
    <cfRule type="cellIs" dxfId="5240" priority="2726" operator="between">
      <formula>0.1876</formula>
      <formula>0.2375</formula>
    </cfRule>
    <cfRule type="cellIs" dxfId="5239" priority="2727" operator="between">
      <formula>0.1251</formula>
      <formula>0.1875</formula>
    </cfRule>
    <cfRule type="cellIs" dxfId="5238" priority="2728" operator="greaterThan">
      <formula>0.25</formula>
    </cfRule>
    <cfRule type="cellIs" dxfId="5237" priority="2729" operator="between">
      <formula>0.2376</formula>
      <formula>0.25</formula>
    </cfRule>
    <cfRule type="cellIs" dxfId="5236" priority="2730" stopIfTrue="1" operator="between">
      <formula>0</formula>
      <formula>0.125</formula>
    </cfRule>
  </conditionalFormatting>
  <conditionalFormatting sqref="T153">
    <cfRule type="cellIs" dxfId="5235" priority="2823" operator="between">
      <formula>0.3751</formula>
      <formula>0.475</formula>
    </cfRule>
    <cfRule type="cellIs" dxfId="5234" priority="2824" operator="between">
      <formula>0.2551</formula>
      <formula>0.375</formula>
    </cfRule>
    <cfRule type="cellIs" dxfId="5233" priority="2825" operator="greaterThan">
      <formula>0.505</formula>
    </cfRule>
    <cfRule type="cellIs" dxfId="5232" priority="2826" operator="between">
      <formula>0.48</formula>
      <formula>0.5</formula>
    </cfRule>
    <cfRule type="cellIs" dxfId="5231" priority="2827" stopIfTrue="1" operator="between">
      <formula>0</formula>
      <formula>0.255</formula>
    </cfRule>
  </conditionalFormatting>
  <conditionalFormatting sqref="R153:S153 Y153:Z153 AF153:AI153 K153:L153">
    <cfRule type="cellIs" dxfId="5230" priority="2828" operator="between">
      <formula>0.76</formula>
      <formula>0.95</formula>
    </cfRule>
    <cfRule type="cellIs" dxfId="5229" priority="2829" operator="between">
      <formula>0.51</formula>
      <formula>0.75</formula>
    </cfRule>
    <cfRule type="cellIs" dxfId="5228" priority="2830" operator="greaterThan">
      <formula>1</formula>
    </cfRule>
    <cfRule type="cellIs" dxfId="5227" priority="2831" operator="between">
      <formula>0.96</formula>
      <formula>1</formula>
    </cfRule>
    <cfRule type="cellIs" dxfId="5226" priority="2832" stopIfTrue="1" operator="between">
      <formula>0</formula>
      <formula>0.5</formula>
    </cfRule>
  </conditionalFormatting>
  <conditionalFormatting sqref="AA153:AC153">
    <cfRule type="cellIs" dxfId="5225" priority="2818" operator="between">
      <formula>0.56251</formula>
      <formula>0.7125</formula>
    </cfRule>
    <cfRule type="cellIs" dxfId="5224" priority="2819" operator="between">
      <formula>0.3751</formula>
      <formula>0.5625</formula>
    </cfRule>
    <cfRule type="cellIs" dxfId="5223" priority="2820" operator="greaterThan">
      <formula>0.751</formula>
    </cfRule>
    <cfRule type="cellIs" dxfId="5222" priority="2821" operator="between">
      <formula>0.71251</formula>
      <formula>0.75</formula>
    </cfRule>
    <cfRule type="cellIs" dxfId="5221" priority="2822" stopIfTrue="1" operator="between">
      <formula>0</formula>
      <formula>0.375</formula>
    </cfRule>
  </conditionalFormatting>
  <conditionalFormatting sqref="O153">
    <cfRule type="cellIs" dxfId="5220" priority="2813" operator="between">
      <formula>0.1876</formula>
      <formula>0.2375</formula>
    </cfRule>
    <cfRule type="cellIs" dxfId="5219" priority="2814" operator="between">
      <formula>0.1251</formula>
      <formula>0.1875</formula>
    </cfRule>
    <cfRule type="cellIs" dxfId="5218" priority="2815" operator="greaterThan">
      <formula>0.25</formula>
    </cfRule>
    <cfRule type="cellIs" dxfId="5217" priority="2816" operator="between">
      <formula>0.2375</formula>
      <formula>0.25</formula>
    </cfRule>
    <cfRule type="cellIs" dxfId="5216" priority="2817" stopIfTrue="1" operator="between">
      <formula>0</formula>
      <formula>0.125</formula>
    </cfRule>
  </conditionalFormatting>
  <conditionalFormatting sqref="M153:N153">
    <cfRule type="cellIs" dxfId="5215" priority="2808" operator="between">
      <formula>0.1876</formula>
      <formula>0.2375</formula>
    </cfRule>
    <cfRule type="cellIs" dxfId="5214" priority="2809" operator="between">
      <formula>0.1251</formula>
      <formula>0.1875</formula>
    </cfRule>
    <cfRule type="cellIs" dxfId="5213" priority="2810" operator="greaterThan">
      <formula>0.25</formula>
    </cfRule>
    <cfRule type="cellIs" dxfId="5212" priority="2811" operator="between">
      <formula>0.2376</formula>
      <formula>0.25</formula>
    </cfRule>
    <cfRule type="cellIs" dxfId="5211" priority="2812" stopIfTrue="1" operator="between">
      <formula>0</formula>
      <formula>0.125</formula>
    </cfRule>
  </conditionalFormatting>
  <conditionalFormatting sqref="U153:V153">
    <cfRule type="cellIs" dxfId="5210" priority="2803" operator="between">
      <formula>0.376</formula>
      <formula>0.475</formula>
    </cfRule>
    <cfRule type="cellIs" dxfId="5209" priority="2804" operator="between">
      <formula>0.2551</formula>
      <formula>0.3751</formula>
    </cfRule>
    <cfRule type="cellIs" dxfId="5208" priority="2805" operator="greaterThan">
      <formula>0.505</formula>
    </cfRule>
    <cfRule type="cellIs" dxfId="5207" priority="2806" operator="between">
      <formula>0.48</formula>
      <formula>0.5</formula>
    </cfRule>
    <cfRule type="cellIs" dxfId="5206" priority="2807" stopIfTrue="1" operator="between">
      <formula>0</formula>
      <formula>0.255</formula>
    </cfRule>
  </conditionalFormatting>
  <conditionalFormatting sqref="Y30 R30 AF30 AH30:AI30">
    <cfRule type="cellIs" dxfId="5205" priority="2786" operator="between">
      <formula>0.76</formula>
      <formula>0.95</formula>
    </cfRule>
    <cfRule type="cellIs" dxfId="5204" priority="2787" operator="between">
      <formula>0.51</formula>
      <formula>0.75</formula>
    </cfRule>
    <cfRule type="cellIs" dxfId="5203" priority="2788" operator="greaterThan">
      <formula>1</formula>
    </cfRule>
    <cfRule type="cellIs" dxfId="5202" priority="2789" operator="between">
      <formula>0.95</formula>
      <formula>1</formula>
    </cfRule>
    <cfRule type="cellIs" dxfId="5201" priority="2790" stopIfTrue="1" operator="between">
      <formula>0</formula>
      <formula>0.5</formula>
    </cfRule>
  </conditionalFormatting>
  <conditionalFormatting sqref="T30">
    <cfRule type="cellIs" dxfId="5200" priority="2781" operator="between">
      <formula>0.3751</formula>
      <formula>0.475</formula>
    </cfRule>
    <cfRule type="cellIs" dxfId="5199" priority="2782" operator="between">
      <formula>0.2551</formula>
      <formula>0.375</formula>
    </cfRule>
    <cfRule type="cellIs" dxfId="5198" priority="2783" operator="greaterThan">
      <formula>0.505</formula>
    </cfRule>
    <cfRule type="cellIs" dxfId="5197" priority="2784" operator="between">
      <formula>0.48</formula>
      <formula>0.5</formula>
    </cfRule>
    <cfRule type="cellIs" dxfId="5196" priority="2785" stopIfTrue="1" operator="between">
      <formula>0</formula>
      <formula>0.255</formula>
    </cfRule>
  </conditionalFormatting>
  <conditionalFormatting sqref="AA30:AB30">
    <cfRule type="cellIs" dxfId="5195" priority="2776" operator="between">
      <formula>0.56251</formula>
      <formula>0.7125</formula>
    </cfRule>
    <cfRule type="cellIs" dxfId="5194" priority="2777" operator="between">
      <formula>0.3751</formula>
      <formula>0.5625</formula>
    </cfRule>
    <cfRule type="cellIs" dxfId="5193" priority="2778" operator="greaterThan">
      <formula>0.751</formula>
    </cfRule>
    <cfRule type="cellIs" dxfId="5192" priority="2779" operator="between">
      <formula>0.71251</formula>
      <formula>0.75</formula>
    </cfRule>
    <cfRule type="cellIs" dxfId="5191" priority="2780" stopIfTrue="1" operator="between">
      <formula>0</formula>
      <formula>0.375</formula>
    </cfRule>
  </conditionalFormatting>
  <conditionalFormatting sqref="U30">
    <cfRule type="cellIs" dxfId="5190" priority="2771" operator="between">
      <formula>0.376</formula>
      <formula>0.475</formula>
    </cfRule>
    <cfRule type="cellIs" dxfId="5189" priority="2772" operator="between">
      <formula>0.2551</formula>
      <formula>0.3751</formula>
    </cfRule>
    <cfRule type="cellIs" dxfId="5188" priority="2773" operator="greaterThan">
      <formula>0.505</formula>
    </cfRule>
    <cfRule type="cellIs" dxfId="5187" priority="2774" operator="between">
      <formula>0.48</formula>
      <formula>0.5</formula>
    </cfRule>
    <cfRule type="cellIs" dxfId="5186" priority="2775" stopIfTrue="1" operator="between">
      <formula>0</formula>
      <formula>0.255</formula>
    </cfRule>
  </conditionalFormatting>
  <conditionalFormatting sqref="AG30">
    <cfRule type="cellIs" dxfId="5185" priority="2751" operator="between">
      <formula>0.76</formula>
      <formula>0.95</formula>
    </cfRule>
    <cfRule type="cellIs" dxfId="5184" priority="2752" operator="between">
      <formula>0.51</formula>
      <formula>0.75</formula>
    </cfRule>
    <cfRule type="cellIs" dxfId="5183" priority="2753" operator="greaterThan">
      <formula>1</formula>
    </cfRule>
    <cfRule type="cellIs" dxfId="5182" priority="2754" operator="between">
      <formula>0.95</formula>
      <formula>1</formula>
    </cfRule>
    <cfRule type="cellIs" dxfId="5181" priority="2755" stopIfTrue="1" operator="between">
      <formula>0</formula>
      <formula>0.5</formula>
    </cfRule>
  </conditionalFormatting>
  <conditionalFormatting sqref="Z30">
    <cfRule type="cellIs" dxfId="5180" priority="2746" operator="between">
      <formula>0.76</formula>
      <formula>0.95</formula>
    </cfRule>
    <cfRule type="cellIs" dxfId="5179" priority="2747" operator="between">
      <formula>0.51</formula>
      <formula>0.75</formula>
    </cfRule>
    <cfRule type="cellIs" dxfId="5178" priority="2748" operator="greaterThan">
      <formula>1</formula>
    </cfRule>
    <cfRule type="cellIs" dxfId="5177" priority="2749" operator="between">
      <formula>0.95</formula>
      <formula>1</formula>
    </cfRule>
    <cfRule type="cellIs" dxfId="5176" priority="2750" stopIfTrue="1" operator="between">
      <formula>0</formula>
      <formula>0.5</formula>
    </cfRule>
  </conditionalFormatting>
  <conditionalFormatting sqref="AC30">
    <cfRule type="cellIs" dxfId="5175" priority="2741" operator="between">
      <formula>0.56251</formula>
      <formula>0.7125</formula>
    </cfRule>
    <cfRule type="cellIs" dxfId="5174" priority="2742" operator="between">
      <formula>0.3751</formula>
      <formula>0.5625</formula>
    </cfRule>
    <cfRule type="cellIs" dxfId="5173" priority="2743" operator="greaterThan">
      <formula>0.751</formula>
    </cfRule>
    <cfRule type="cellIs" dxfId="5172" priority="2744" operator="between">
      <formula>0.71251</formula>
      <formula>0.75</formula>
    </cfRule>
    <cfRule type="cellIs" dxfId="5171" priority="2745" stopIfTrue="1" operator="between">
      <formula>0</formula>
      <formula>0.375</formula>
    </cfRule>
  </conditionalFormatting>
  <conditionalFormatting sqref="S30">
    <cfRule type="cellIs" dxfId="5170" priority="2736" operator="between">
      <formula>0.76</formula>
      <formula>0.95</formula>
    </cfRule>
    <cfRule type="cellIs" dxfId="5169" priority="2737" operator="between">
      <formula>0.51</formula>
      <formula>0.75</formula>
    </cfRule>
    <cfRule type="cellIs" dxfId="5168" priority="2738" operator="greaterThan">
      <formula>1</formula>
    </cfRule>
    <cfRule type="cellIs" dxfId="5167" priority="2739" operator="between">
      <formula>0.95</formula>
      <formula>1</formula>
    </cfRule>
    <cfRule type="cellIs" dxfId="5166" priority="2740" stopIfTrue="1" operator="between">
      <formula>0</formula>
      <formula>0.5</formula>
    </cfRule>
  </conditionalFormatting>
  <conditionalFormatting sqref="V30">
    <cfRule type="cellIs" dxfId="5165" priority="2731" operator="between">
      <formula>0.376</formula>
      <formula>0.475</formula>
    </cfRule>
    <cfRule type="cellIs" dxfId="5164" priority="2732" operator="between">
      <formula>0.2551</formula>
      <formula>0.3751</formula>
    </cfRule>
    <cfRule type="cellIs" dxfId="5163" priority="2733" operator="greaterThan">
      <formula>0.505</formula>
    </cfRule>
    <cfRule type="cellIs" dxfId="5162" priority="2734" operator="between">
      <formula>0.48</formula>
      <formula>0.5</formula>
    </cfRule>
    <cfRule type="cellIs" dxfId="5161" priority="2735" stopIfTrue="1" operator="between">
      <formula>0</formula>
      <formula>0.255</formula>
    </cfRule>
  </conditionalFormatting>
  <conditionalFormatting sqref="O30">
    <cfRule type="cellIs" dxfId="5160" priority="2721" operator="between">
      <formula>0.1876</formula>
      <formula>0.2375</formula>
    </cfRule>
    <cfRule type="cellIs" dxfId="5159" priority="2722" operator="between">
      <formula>0.1251</formula>
      <formula>0.1875</formula>
    </cfRule>
    <cfRule type="cellIs" dxfId="5158" priority="2723" operator="greaterThan">
      <formula>0.25</formula>
    </cfRule>
    <cfRule type="cellIs" dxfId="5157" priority="2724" operator="between">
      <formula>0.2376</formula>
      <formula>0.25</formula>
    </cfRule>
    <cfRule type="cellIs" dxfId="5156" priority="2725" stopIfTrue="1" operator="between">
      <formula>0</formula>
      <formula>0.125</formula>
    </cfRule>
  </conditionalFormatting>
  <conditionalFormatting sqref="M30">
    <cfRule type="cellIs" dxfId="5155" priority="2716" operator="between">
      <formula>0.1876</formula>
      <formula>0.2375</formula>
    </cfRule>
    <cfRule type="cellIs" dxfId="5154" priority="2717" operator="between">
      <formula>0.1251</formula>
      <formula>0.1875</formula>
    </cfRule>
    <cfRule type="cellIs" dxfId="5153" priority="2718" operator="greaterThan">
      <formula>0.25</formula>
    </cfRule>
    <cfRule type="cellIs" dxfId="5152" priority="2719" operator="between">
      <formula>0.2375</formula>
      <formula>0.25</formula>
    </cfRule>
    <cfRule type="cellIs" dxfId="5151" priority="2720" stopIfTrue="1" operator="between">
      <formula>0</formula>
      <formula>0.125</formula>
    </cfRule>
  </conditionalFormatting>
  <conditionalFormatting sqref="K30">
    <cfRule type="cellIs" dxfId="5150" priority="2711" operator="between">
      <formula>0.76</formula>
      <formula>0.95</formula>
    </cfRule>
    <cfRule type="cellIs" dxfId="5149" priority="2712" operator="between">
      <formula>0.51</formula>
      <formula>0.75</formula>
    </cfRule>
    <cfRule type="cellIs" dxfId="5148" priority="2713" operator="greaterThan">
      <formula>1</formula>
    </cfRule>
    <cfRule type="cellIs" dxfId="5147" priority="2714" operator="between">
      <formula>0.96</formula>
      <formula>1</formula>
    </cfRule>
    <cfRule type="cellIs" dxfId="5146" priority="2715" stopIfTrue="1" operator="between">
      <formula>0</formula>
      <formula>0.5</formula>
    </cfRule>
  </conditionalFormatting>
  <conditionalFormatting sqref="L30">
    <cfRule type="cellIs" dxfId="5145" priority="2706" operator="between">
      <formula>0.76</formula>
      <formula>0.95</formula>
    </cfRule>
    <cfRule type="cellIs" dxfId="5144" priority="2707" operator="between">
      <formula>0.51</formula>
      <formula>0.75</formula>
    </cfRule>
    <cfRule type="cellIs" dxfId="5143" priority="2708" operator="greaterThan">
      <formula>1</formula>
    </cfRule>
    <cfRule type="cellIs" dxfId="5142" priority="2709" operator="between">
      <formula>0.96</formula>
      <formula>1</formula>
    </cfRule>
    <cfRule type="cellIs" dxfId="5141" priority="2710" stopIfTrue="1" operator="between">
      <formula>0</formula>
      <formula>0.5</formula>
    </cfRule>
  </conditionalFormatting>
  <conditionalFormatting sqref="AF163:AG163 Y163:Z163 R163:S163">
    <cfRule type="cellIs" dxfId="5140" priority="2701" operator="between">
      <formula>0.76</formula>
      <formula>0.95</formula>
    </cfRule>
    <cfRule type="cellIs" dxfId="5139" priority="2702" operator="between">
      <formula>0.51</formula>
      <formula>0.75</formula>
    </cfRule>
    <cfRule type="cellIs" dxfId="5138" priority="2703" operator="greaterThan">
      <formula>1</formula>
    </cfRule>
    <cfRule type="cellIs" dxfId="5137" priority="2704" operator="between">
      <formula>0.96</formula>
      <formula>1</formula>
    </cfRule>
    <cfRule type="cellIs" dxfId="5136" priority="2705" stopIfTrue="1" operator="between">
      <formula>0</formula>
      <formula>0.5</formula>
    </cfRule>
  </conditionalFormatting>
  <conditionalFormatting sqref="AG163">
    <cfRule type="cellIs" dxfId="5135" priority="2664" operator="between">
      <formula>0.76</formula>
      <formula>0.95</formula>
    </cfRule>
    <cfRule type="cellIs" dxfId="5134" priority="2665" operator="between">
      <formula>0.51</formula>
      <formula>0.75</formula>
    </cfRule>
    <cfRule type="cellIs" dxfId="5133" priority="2666" operator="greaterThan">
      <formula>1</formula>
    </cfRule>
    <cfRule type="cellIs" dxfId="5132" priority="2667" operator="between">
      <formula>0.95</formula>
      <formula>1</formula>
    </cfRule>
    <cfRule type="cellIs" dxfId="5131" priority="2668" stopIfTrue="1" operator="between">
      <formula>0</formula>
      <formula>0.5</formula>
    </cfRule>
  </conditionalFormatting>
  <conditionalFormatting sqref="Y264:Z264 AF264:AI264 R264">
    <cfRule type="cellIs" dxfId="5130" priority="2659" operator="between">
      <formula>0.76</formula>
      <formula>0.95</formula>
    </cfRule>
    <cfRule type="cellIs" dxfId="5129" priority="2660" operator="between">
      <formula>0.51</formula>
      <formula>0.75</formula>
    </cfRule>
    <cfRule type="cellIs" dxfId="5128" priority="2661" operator="greaterThan">
      <formula>1</formula>
    </cfRule>
    <cfRule type="cellIs" dxfId="5127" priority="2662" operator="between">
      <formula>0.95</formula>
      <formula>1</formula>
    </cfRule>
    <cfRule type="cellIs" dxfId="5126" priority="2663" stopIfTrue="1" operator="between">
      <formula>0</formula>
      <formula>0.5</formula>
    </cfRule>
  </conditionalFormatting>
  <conditionalFormatting sqref="T264">
    <cfRule type="cellIs" dxfId="5125" priority="2654" operator="between">
      <formula>0.3751</formula>
      <formula>0.475</formula>
    </cfRule>
    <cfRule type="cellIs" dxfId="5124" priority="2655" operator="between">
      <formula>0.2551</formula>
      <formula>0.375</formula>
    </cfRule>
    <cfRule type="cellIs" dxfId="5123" priority="2656" operator="greaterThan">
      <formula>0.505</formula>
    </cfRule>
    <cfRule type="cellIs" dxfId="5122" priority="2657" operator="between">
      <formula>0.48</formula>
      <formula>0.5</formula>
    </cfRule>
    <cfRule type="cellIs" dxfId="5121" priority="2658" stopIfTrue="1" operator="between">
      <formula>0</formula>
      <formula>0.255</formula>
    </cfRule>
  </conditionalFormatting>
  <conditionalFormatting sqref="AA264:AC264">
    <cfRule type="cellIs" dxfId="5120" priority="2649" operator="between">
      <formula>0.56251</formula>
      <formula>0.7125</formula>
    </cfRule>
    <cfRule type="cellIs" dxfId="5119" priority="2650" operator="between">
      <formula>0.3751</formula>
      <formula>0.5625</formula>
    </cfRule>
    <cfRule type="cellIs" dxfId="5118" priority="2651" operator="greaterThan">
      <formula>0.751</formula>
    </cfRule>
    <cfRule type="cellIs" dxfId="5117" priority="2652" operator="between">
      <formula>0.71251</formula>
      <formula>0.75</formula>
    </cfRule>
    <cfRule type="cellIs" dxfId="5116" priority="2653" stopIfTrue="1" operator="between">
      <formula>0</formula>
      <formula>0.375</formula>
    </cfRule>
  </conditionalFormatting>
  <conditionalFormatting sqref="U264">
    <cfRule type="cellIs" dxfId="5115" priority="2644" operator="between">
      <formula>0.376</formula>
      <formula>0.475</formula>
    </cfRule>
    <cfRule type="cellIs" dxfId="5114" priority="2645" operator="between">
      <formula>0.2551</formula>
      <formula>0.3751</formula>
    </cfRule>
    <cfRule type="cellIs" dxfId="5113" priority="2646" operator="greaterThan">
      <formula>0.505</formula>
    </cfRule>
    <cfRule type="cellIs" dxfId="5112" priority="2647" operator="between">
      <formula>0.48</formula>
      <formula>0.5</formula>
    </cfRule>
    <cfRule type="cellIs" dxfId="5111" priority="2648" stopIfTrue="1" operator="between">
      <formula>0</formula>
      <formula>0.255</formula>
    </cfRule>
  </conditionalFormatting>
  <conditionalFormatting sqref="S264">
    <cfRule type="cellIs" dxfId="5110" priority="2639" operator="between">
      <formula>0.76</formula>
      <formula>0.95</formula>
    </cfRule>
    <cfRule type="cellIs" dxfId="5109" priority="2640" operator="between">
      <formula>0.51</formula>
      <formula>0.75</formula>
    </cfRule>
    <cfRule type="cellIs" dxfId="5108" priority="2641" operator="greaterThan">
      <formula>1</formula>
    </cfRule>
    <cfRule type="cellIs" dxfId="5107" priority="2642" operator="between">
      <formula>0.95</formula>
      <formula>1</formula>
    </cfRule>
    <cfRule type="cellIs" dxfId="5106" priority="2643" stopIfTrue="1" operator="between">
      <formula>0</formula>
      <formula>0.5</formula>
    </cfRule>
  </conditionalFormatting>
  <conditionalFormatting sqref="V264">
    <cfRule type="cellIs" dxfId="5105" priority="2634" operator="between">
      <formula>0.376</formula>
      <formula>0.475</formula>
    </cfRule>
    <cfRule type="cellIs" dxfId="5104" priority="2635" operator="between">
      <formula>0.2551</formula>
      <formula>0.3751</formula>
    </cfRule>
    <cfRule type="cellIs" dxfId="5103" priority="2636" operator="greaterThan">
      <formula>0.505</formula>
    </cfRule>
    <cfRule type="cellIs" dxfId="5102" priority="2637" operator="between">
      <formula>0.48</formula>
      <formula>0.5</formula>
    </cfRule>
    <cfRule type="cellIs" dxfId="5101" priority="2638" stopIfTrue="1" operator="between">
      <formula>0</formula>
      <formula>0.255</formula>
    </cfRule>
  </conditionalFormatting>
  <conditionalFormatting sqref="AF88 R88 Y88 AH88:AI88">
    <cfRule type="cellIs" dxfId="5100" priority="2620" operator="between">
      <formula>0.76</formula>
      <formula>0.95</formula>
    </cfRule>
    <cfRule type="cellIs" dxfId="5099" priority="2621" operator="between">
      <formula>0.51</formula>
      <formula>0.75</formula>
    </cfRule>
    <cfRule type="cellIs" dxfId="5098" priority="2622" operator="greaterThan">
      <formula>1</formula>
    </cfRule>
    <cfRule type="cellIs" dxfId="5097" priority="2623" operator="between">
      <formula>0.95</formula>
      <formula>1</formula>
    </cfRule>
    <cfRule type="cellIs" dxfId="5096" priority="2624" stopIfTrue="1" operator="between">
      <formula>0</formula>
      <formula>0.5</formula>
    </cfRule>
  </conditionalFormatting>
  <conditionalFormatting sqref="T88">
    <cfRule type="cellIs" dxfId="5095" priority="2615" operator="between">
      <formula>0.3751</formula>
      <formula>0.475</formula>
    </cfRule>
    <cfRule type="cellIs" dxfId="5094" priority="2616" operator="between">
      <formula>0.2551</formula>
      <formula>0.375</formula>
    </cfRule>
    <cfRule type="cellIs" dxfId="5093" priority="2617" operator="greaterThan">
      <formula>0.505</formula>
    </cfRule>
    <cfRule type="cellIs" dxfId="5092" priority="2618" operator="between">
      <formula>0.48</formula>
      <formula>0.5</formula>
    </cfRule>
    <cfRule type="cellIs" dxfId="5091" priority="2619" stopIfTrue="1" operator="between">
      <formula>0</formula>
      <formula>0.255</formula>
    </cfRule>
  </conditionalFormatting>
  <conditionalFormatting sqref="AA88:AB88">
    <cfRule type="cellIs" dxfId="5090" priority="2610" operator="between">
      <formula>0.56251</formula>
      <formula>0.7125</formula>
    </cfRule>
    <cfRule type="cellIs" dxfId="5089" priority="2611" operator="between">
      <formula>0.3751</formula>
      <formula>0.5625</formula>
    </cfRule>
    <cfRule type="cellIs" dxfId="5088" priority="2612" operator="greaterThan">
      <formula>0.751</formula>
    </cfRule>
    <cfRule type="cellIs" dxfId="5087" priority="2613" operator="between">
      <formula>0.71251</formula>
      <formula>0.75</formula>
    </cfRule>
    <cfRule type="cellIs" dxfId="5086" priority="2614" stopIfTrue="1" operator="between">
      <formula>0</formula>
      <formula>0.375</formula>
    </cfRule>
  </conditionalFormatting>
  <conditionalFormatting sqref="U88">
    <cfRule type="cellIs" dxfId="5085" priority="2605" operator="between">
      <formula>0.376</formula>
      <formula>0.475</formula>
    </cfRule>
    <cfRule type="cellIs" dxfId="5084" priority="2606" operator="between">
      <formula>0.2551</formula>
      <formula>0.3751</formula>
    </cfRule>
    <cfRule type="cellIs" dxfId="5083" priority="2607" operator="greaterThan">
      <formula>0.505</formula>
    </cfRule>
    <cfRule type="cellIs" dxfId="5082" priority="2608" operator="between">
      <formula>0.48</formula>
      <formula>0.5</formula>
    </cfRule>
    <cfRule type="cellIs" dxfId="5081" priority="2609" stopIfTrue="1" operator="between">
      <formula>0</formula>
      <formula>0.255</formula>
    </cfRule>
  </conditionalFormatting>
  <conditionalFormatting sqref="Z88">
    <cfRule type="cellIs" dxfId="5080" priority="2588" operator="between">
      <formula>0.76</formula>
      <formula>0.95</formula>
    </cfRule>
    <cfRule type="cellIs" dxfId="5079" priority="2589" operator="between">
      <formula>0.51</formula>
      <formula>0.75</formula>
    </cfRule>
    <cfRule type="cellIs" dxfId="5078" priority="2590" operator="greaterThan">
      <formula>1</formula>
    </cfRule>
    <cfRule type="cellIs" dxfId="5077" priority="2591" operator="between">
      <formula>0.95</formula>
      <formula>1</formula>
    </cfRule>
    <cfRule type="cellIs" dxfId="5076" priority="2592" stopIfTrue="1" operator="between">
      <formula>0</formula>
      <formula>0.5</formula>
    </cfRule>
  </conditionalFormatting>
  <conditionalFormatting sqref="AC88">
    <cfRule type="cellIs" dxfId="5075" priority="2583" operator="between">
      <formula>0.56251</formula>
      <formula>0.7125</formula>
    </cfRule>
    <cfRule type="cellIs" dxfId="5074" priority="2584" operator="between">
      <formula>0.3751</formula>
      <formula>0.5625</formula>
    </cfRule>
    <cfRule type="cellIs" dxfId="5073" priority="2585" operator="greaterThan">
      <formula>0.751</formula>
    </cfRule>
    <cfRule type="cellIs" dxfId="5072" priority="2586" operator="between">
      <formula>0.71251</formula>
      <formula>0.75</formula>
    </cfRule>
    <cfRule type="cellIs" dxfId="5071" priority="2587" stopIfTrue="1" operator="between">
      <formula>0</formula>
      <formula>0.375</formula>
    </cfRule>
  </conditionalFormatting>
  <conditionalFormatting sqref="S88">
    <cfRule type="cellIs" dxfId="5070" priority="2578" operator="between">
      <formula>0.76</formula>
      <formula>0.95</formula>
    </cfRule>
    <cfRule type="cellIs" dxfId="5069" priority="2579" operator="between">
      <formula>0.51</formula>
      <formula>0.75</formula>
    </cfRule>
    <cfRule type="cellIs" dxfId="5068" priority="2580" operator="greaterThan">
      <formula>1</formula>
    </cfRule>
    <cfRule type="cellIs" dxfId="5067" priority="2581" operator="between">
      <formula>0.95</formula>
      <formula>1</formula>
    </cfRule>
    <cfRule type="cellIs" dxfId="5066" priority="2582" stopIfTrue="1" operator="between">
      <formula>0</formula>
      <formula>0.5</formula>
    </cfRule>
  </conditionalFormatting>
  <conditionalFormatting sqref="V88">
    <cfRule type="cellIs" dxfId="5065" priority="2573" operator="between">
      <formula>0.376</formula>
      <formula>0.475</formula>
    </cfRule>
    <cfRule type="cellIs" dxfId="5064" priority="2574" operator="between">
      <formula>0.2551</formula>
      <formula>0.3751</formula>
    </cfRule>
    <cfRule type="cellIs" dxfId="5063" priority="2575" operator="greaterThan">
      <formula>0.505</formula>
    </cfRule>
    <cfRule type="cellIs" dxfId="5062" priority="2576" operator="between">
      <formula>0.48</formula>
      <formula>0.5</formula>
    </cfRule>
    <cfRule type="cellIs" dxfId="5061" priority="2577" stopIfTrue="1" operator="between">
      <formula>0</formula>
      <formula>0.255</formula>
    </cfRule>
  </conditionalFormatting>
  <conditionalFormatting sqref="AG88">
    <cfRule type="cellIs" dxfId="5060" priority="2568" operator="between">
      <formula>0.76</formula>
      <formula>0.95</formula>
    </cfRule>
    <cfRule type="cellIs" dxfId="5059" priority="2569" operator="between">
      <formula>0.51</formula>
      <formula>0.75</formula>
    </cfRule>
    <cfRule type="cellIs" dxfId="5058" priority="2570" operator="greaterThan">
      <formula>1</formula>
    </cfRule>
    <cfRule type="cellIs" dxfId="5057" priority="2571" operator="between">
      <formula>0.95</formula>
      <formula>1</formula>
    </cfRule>
    <cfRule type="cellIs" dxfId="5056" priority="2572" stopIfTrue="1" operator="between">
      <formula>0</formula>
      <formula>0.5</formula>
    </cfRule>
  </conditionalFormatting>
  <conditionalFormatting sqref="AF92 R92 Y92 AH92:AI92">
    <cfRule type="cellIs" dxfId="5055" priority="2563" operator="between">
      <formula>0.76</formula>
      <formula>0.95</formula>
    </cfRule>
    <cfRule type="cellIs" dxfId="5054" priority="2564" operator="between">
      <formula>0.51</formula>
      <formula>0.75</formula>
    </cfRule>
    <cfRule type="cellIs" dxfId="5053" priority="2565" operator="greaterThan">
      <formula>1</formula>
    </cfRule>
    <cfRule type="cellIs" dxfId="5052" priority="2566" operator="between">
      <formula>0.95</formula>
      <formula>1</formula>
    </cfRule>
    <cfRule type="cellIs" dxfId="5051" priority="2567" stopIfTrue="1" operator="between">
      <formula>0</formula>
      <formula>0.5</formula>
    </cfRule>
  </conditionalFormatting>
  <conditionalFormatting sqref="T92">
    <cfRule type="cellIs" dxfId="5050" priority="2558" operator="between">
      <formula>0.3751</formula>
      <formula>0.475</formula>
    </cfRule>
    <cfRule type="cellIs" dxfId="5049" priority="2559" operator="between">
      <formula>0.2551</formula>
      <formula>0.375</formula>
    </cfRule>
    <cfRule type="cellIs" dxfId="5048" priority="2560" operator="greaterThan">
      <formula>0.505</formula>
    </cfRule>
    <cfRule type="cellIs" dxfId="5047" priority="2561" operator="between">
      <formula>0.48</formula>
      <formula>0.5</formula>
    </cfRule>
    <cfRule type="cellIs" dxfId="5046" priority="2562" stopIfTrue="1" operator="between">
      <formula>0</formula>
      <formula>0.255</formula>
    </cfRule>
  </conditionalFormatting>
  <conditionalFormatting sqref="AA92:AB92">
    <cfRule type="cellIs" dxfId="5045" priority="2553" operator="between">
      <formula>0.56251</formula>
      <formula>0.7125</formula>
    </cfRule>
    <cfRule type="cellIs" dxfId="5044" priority="2554" operator="between">
      <formula>0.3751</formula>
      <formula>0.5625</formula>
    </cfRule>
    <cfRule type="cellIs" dxfId="5043" priority="2555" operator="greaterThan">
      <formula>0.751</formula>
    </cfRule>
    <cfRule type="cellIs" dxfId="5042" priority="2556" operator="between">
      <formula>0.71251</formula>
      <formula>0.75</formula>
    </cfRule>
    <cfRule type="cellIs" dxfId="5041" priority="2557" stopIfTrue="1" operator="between">
      <formula>0</formula>
      <formula>0.375</formula>
    </cfRule>
  </conditionalFormatting>
  <conditionalFormatting sqref="U92">
    <cfRule type="cellIs" dxfId="5040" priority="2548" operator="between">
      <formula>0.376</formula>
      <formula>0.475</formula>
    </cfRule>
    <cfRule type="cellIs" dxfId="5039" priority="2549" operator="between">
      <formula>0.2551</formula>
      <formula>0.3751</formula>
    </cfRule>
    <cfRule type="cellIs" dxfId="5038" priority="2550" operator="greaterThan">
      <formula>0.505</formula>
    </cfRule>
    <cfRule type="cellIs" dxfId="5037" priority="2551" operator="between">
      <formula>0.48</formula>
      <formula>0.5</formula>
    </cfRule>
    <cfRule type="cellIs" dxfId="5036" priority="2552" stopIfTrue="1" operator="between">
      <formula>0</formula>
      <formula>0.255</formula>
    </cfRule>
  </conditionalFormatting>
  <conditionalFormatting sqref="Z92">
    <cfRule type="cellIs" dxfId="5035" priority="2531" operator="between">
      <formula>0.76</formula>
      <formula>0.95</formula>
    </cfRule>
    <cfRule type="cellIs" dxfId="5034" priority="2532" operator="between">
      <formula>0.51</formula>
      <formula>0.75</formula>
    </cfRule>
    <cfRule type="cellIs" dxfId="5033" priority="2533" operator="greaterThan">
      <formula>1</formula>
    </cfRule>
    <cfRule type="cellIs" dxfId="5032" priority="2534" operator="between">
      <formula>0.95</formula>
      <formula>1</formula>
    </cfRule>
    <cfRule type="cellIs" dxfId="5031" priority="2535" stopIfTrue="1" operator="between">
      <formula>0</formula>
      <formula>0.5</formula>
    </cfRule>
  </conditionalFormatting>
  <conditionalFormatting sqref="AC92">
    <cfRule type="cellIs" dxfId="5030" priority="2526" operator="between">
      <formula>0.56251</formula>
      <formula>0.7125</formula>
    </cfRule>
    <cfRule type="cellIs" dxfId="5029" priority="2527" operator="between">
      <formula>0.3751</formula>
      <formula>0.5625</formula>
    </cfRule>
    <cfRule type="cellIs" dxfId="5028" priority="2528" operator="greaterThan">
      <formula>0.751</formula>
    </cfRule>
    <cfRule type="cellIs" dxfId="5027" priority="2529" operator="between">
      <formula>0.71251</formula>
      <formula>0.75</formula>
    </cfRule>
    <cfRule type="cellIs" dxfId="5026" priority="2530" stopIfTrue="1" operator="between">
      <formula>0</formula>
      <formula>0.375</formula>
    </cfRule>
  </conditionalFormatting>
  <conditionalFormatting sqref="S92">
    <cfRule type="cellIs" dxfId="5025" priority="2521" operator="between">
      <formula>0.76</formula>
      <formula>0.95</formula>
    </cfRule>
    <cfRule type="cellIs" dxfId="5024" priority="2522" operator="between">
      <formula>0.51</formula>
      <formula>0.75</formula>
    </cfRule>
    <cfRule type="cellIs" dxfId="5023" priority="2523" operator="greaterThan">
      <formula>1</formula>
    </cfRule>
    <cfRule type="cellIs" dxfId="5022" priority="2524" operator="between">
      <formula>0.95</formula>
      <formula>1</formula>
    </cfRule>
    <cfRule type="cellIs" dxfId="5021" priority="2525" stopIfTrue="1" operator="between">
      <formula>0</formula>
      <formula>0.5</formula>
    </cfRule>
  </conditionalFormatting>
  <conditionalFormatting sqref="V92">
    <cfRule type="cellIs" dxfId="5020" priority="2516" operator="between">
      <formula>0.376</formula>
      <formula>0.475</formula>
    </cfRule>
    <cfRule type="cellIs" dxfId="5019" priority="2517" operator="between">
      <formula>0.2551</formula>
      <formula>0.3751</formula>
    </cfRule>
    <cfRule type="cellIs" dxfId="5018" priority="2518" operator="greaterThan">
      <formula>0.505</formula>
    </cfRule>
    <cfRule type="cellIs" dxfId="5017" priority="2519" operator="between">
      <formula>0.48</formula>
      <formula>0.5</formula>
    </cfRule>
    <cfRule type="cellIs" dxfId="5016" priority="2520" stopIfTrue="1" operator="between">
      <formula>0</formula>
      <formula>0.255</formula>
    </cfRule>
  </conditionalFormatting>
  <conditionalFormatting sqref="AG92">
    <cfRule type="cellIs" dxfId="5015" priority="2511" operator="between">
      <formula>0.76</formula>
      <formula>0.95</formula>
    </cfRule>
    <cfRule type="cellIs" dxfId="5014" priority="2512" operator="between">
      <formula>0.51</formula>
      <formula>0.75</formula>
    </cfRule>
    <cfRule type="cellIs" dxfId="5013" priority="2513" operator="greaterThan">
      <formula>1</formula>
    </cfRule>
    <cfRule type="cellIs" dxfId="5012" priority="2514" operator="between">
      <formula>0.95</formula>
      <formula>1</formula>
    </cfRule>
    <cfRule type="cellIs" dxfId="5011" priority="2515" stopIfTrue="1" operator="between">
      <formula>0</formula>
      <formula>0.5</formula>
    </cfRule>
  </conditionalFormatting>
  <conditionalFormatting sqref="Z119">
    <cfRule type="cellIs" dxfId="5010" priority="2010" operator="between">
      <formula>0.76</formula>
      <formula>0.95</formula>
    </cfRule>
    <cfRule type="cellIs" dxfId="5009" priority="2011" operator="between">
      <formula>0.51</formula>
      <formula>0.75</formula>
    </cfRule>
    <cfRule type="cellIs" dxfId="5008" priority="2012" operator="greaterThan">
      <formula>1</formula>
    </cfRule>
    <cfRule type="cellIs" dxfId="5007" priority="2013" operator="between">
      <formula>0.95</formula>
      <formula>1</formula>
    </cfRule>
    <cfRule type="cellIs" dxfId="5006" priority="2014" stopIfTrue="1" operator="between">
      <formula>0</formula>
      <formula>0.5</formula>
    </cfRule>
  </conditionalFormatting>
  <conditionalFormatting sqref="AI349">
    <cfRule type="cellIs" dxfId="5005" priority="2200" operator="between">
      <formula>0.76</formula>
      <formula>0.95</formula>
    </cfRule>
    <cfRule type="cellIs" dxfId="5004" priority="2201" operator="between">
      <formula>0.51</formula>
      <formula>0.75</formula>
    </cfRule>
    <cfRule type="cellIs" dxfId="5003" priority="2202" operator="greaterThan">
      <formula>1</formula>
    </cfRule>
    <cfRule type="cellIs" dxfId="5002" priority="2203" operator="between">
      <formula>0.95</formula>
      <formula>1</formula>
    </cfRule>
    <cfRule type="cellIs" dxfId="5001" priority="2204" stopIfTrue="1" operator="between">
      <formula>0</formula>
      <formula>0.5</formula>
    </cfRule>
  </conditionalFormatting>
  <conditionalFormatting sqref="R349">
    <cfRule type="cellIs" dxfId="5000" priority="2195" operator="between">
      <formula>0.76</formula>
      <formula>0.95</formula>
    </cfRule>
    <cfRule type="cellIs" dxfId="4999" priority="2196" operator="between">
      <formula>0.51</formula>
      <formula>0.75</formula>
    </cfRule>
    <cfRule type="cellIs" dxfId="4998" priority="2197" operator="greaterThan">
      <formula>1</formula>
    </cfRule>
    <cfRule type="cellIs" dxfId="4997" priority="2198" operator="between">
      <formula>0.95</formula>
      <formula>1</formula>
    </cfRule>
    <cfRule type="cellIs" dxfId="4996" priority="2199" stopIfTrue="1" operator="between">
      <formula>0</formula>
      <formula>0.5</formula>
    </cfRule>
  </conditionalFormatting>
  <conditionalFormatting sqref="Y349">
    <cfRule type="cellIs" dxfId="4995" priority="2190" operator="between">
      <formula>0.76</formula>
      <formula>0.95</formula>
    </cfRule>
    <cfRule type="cellIs" dxfId="4994" priority="2191" operator="between">
      <formula>0.51</formula>
      <formula>0.75</formula>
    </cfRule>
    <cfRule type="cellIs" dxfId="4993" priority="2192" operator="greaterThan">
      <formula>1</formula>
    </cfRule>
    <cfRule type="cellIs" dxfId="4992" priority="2193" operator="between">
      <formula>0.95</formula>
      <formula>1</formula>
    </cfRule>
    <cfRule type="cellIs" dxfId="4991" priority="2194" stopIfTrue="1" operator="between">
      <formula>0</formula>
      <formula>0.5</formula>
    </cfRule>
  </conditionalFormatting>
  <conditionalFormatting sqref="AF349">
    <cfRule type="cellIs" dxfId="4990" priority="2185" operator="between">
      <formula>0.76</formula>
      <formula>0.95</formula>
    </cfRule>
    <cfRule type="cellIs" dxfId="4989" priority="2186" operator="between">
      <formula>0.51</formula>
      <formula>0.75</formula>
    </cfRule>
    <cfRule type="cellIs" dxfId="4988" priority="2187" operator="greaterThan">
      <formula>1</formula>
    </cfRule>
    <cfRule type="cellIs" dxfId="4987" priority="2188" operator="between">
      <formula>0.95</formula>
      <formula>1</formula>
    </cfRule>
    <cfRule type="cellIs" dxfId="4986" priority="2189" stopIfTrue="1" operator="between">
      <formula>0</formula>
      <formula>0.5</formula>
    </cfRule>
  </conditionalFormatting>
  <conditionalFormatting sqref="AH349">
    <cfRule type="cellIs" dxfId="4985" priority="2180" operator="between">
      <formula>0.76</formula>
      <formula>0.95</formula>
    </cfRule>
    <cfRule type="cellIs" dxfId="4984" priority="2181" operator="between">
      <formula>0.51</formula>
      <formula>0.75</formula>
    </cfRule>
    <cfRule type="cellIs" dxfId="4983" priority="2182" operator="greaterThan">
      <formula>1</formula>
    </cfRule>
    <cfRule type="cellIs" dxfId="4982" priority="2183" operator="between">
      <formula>0.95</formula>
      <formula>1</formula>
    </cfRule>
    <cfRule type="cellIs" dxfId="4981" priority="2184" stopIfTrue="1" operator="between">
      <formula>0</formula>
      <formula>0.5</formula>
    </cfRule>
  </conditionalFormatting>
  <conditionalFormatting sqref="T349">
    <cfRule type="cellIs" dxfId="4980" priority="2175" operator="between">
      <formula>0.3751</formula>
      <formula>0.475</formula>
    </cfRule>
    <cfRule type="cellIs" dxfId="4979" priority="2176" operator="between">
      <formula>0.2551</formula>
      <formula>0.375</formula>
    </cfRule>
    <cfRule type="cellIs" dxfId="4978" priority="2177" operator="greaterThan">
      <formula>0.505</formula>
    </cfRule>
    <cfRule type="cellIs" dxfId="4977" priority="2178" operator="between">
      <formula>0.48</formula>
      <formula>0.5</formula>
    </cfRule>
    <cfRule type="cellIs" dxfId="4976" priority="2179" stopIfTrue="1" operator="between">
      <formula>0</formula>
      <formula>0.255</formula>
    </cfRule>
  </conditionalFormatting>
  <conditionalFormatting sqref="U349">
    <cfRule type="cellIs" dxfId="4975" priority="2170" operator="between">
      <formula>0.376</formula>
      <formula>0.475</formula>
    </cfRule>
    <cfRule type="cellIs" dxfId="4974" priority="2171" operator="between">
      <formula>0.2551</formula>
      <formula>0.3751</formula>
    </cfRule>
    <cfRule type="cellIs" dxfId="4973" priority="2172" operator="greaterThan">
      <formula>0.505</formula>
    </cfRule>
    <cfRule type="cellIs" dxfId="4972" priority="2173" operator="between">
      <formula>0.48</formula>
      <formula>0.5</formula>
    </cfRule>
    <cfRule type="cellIs" dxfId="4971" priority="2174" stopIfTrue="1" operator="between">
      <formula>0</formula>
      <formula>0.255</formula>
    </cfRule>
  </conditionalFormatting>
  <conditionalFormatting sqref="AA349">
    <cfRule type="cellIs" dxfId="4970" priority="2165" operator="between">
      <formula>0.56251</formula>
      <formula>0.7125</formula>
    </cfRule>
    <cfRule type="cellIs" dxfId="4969" priority="2166" operator="between">
      <formula>0.3751</formula>
      <formula>0.5625</formula>
    </cfRule>
    <cfRule type="cellIs" dxfId="4968" priority="2167" operator="greaterThan">
      <formula>0.751</formula>
    </cfRule>
    <cfRule type="cellIs" dxfId="4967" priority="2168" operator="between">
      <formula>0.71251</formula>
      <formula>0.75</formula>
    </cfRule>
    <cfRule type="cellIs" dxfId="4966" priority="2169" stopIfTrue="1" operator="between">
      <formula>0</formula>
      <formula>0.375</formula>
    </cfRule>
  </conditionalFormatting>
  <conditionalFormatting sqref="AC349">
    <cfRule type="cellIs" dxfId="4965" priority="2160" operator="between">
      <formula>0.56251</formula>
      <formula>0.7125</formula>
    </cfRule>
    <cfRule type="cellIs" dxfId="4964" priority="2161" operator="between">
      <formula>0.3751</formula>
      <formula>0.5625</formula>
    </cfRule>
    <cfRule type="cellIs" dxfId="4963" priority="2162" operator="greaterThan">
      <formula>0.751</formula>
    </cfRule>
    <cfRule type="cellIs" dxfId="4962" priority="2163" operator="between">
      <formula>0.71251</formula>
      <formula>0.75</formula>
    </cfRule>
    <cfRule type="cellIs" dxfId="4961" priority="2164" stopIfTrue="1" operator="between">
      <formula>0</formula>
      <formula>0.375</formula>
    </cfRule>
  </conditionalFormatting>
  <conditionalFormatting sqref="AB349">
    <cfRule type="cellIs" dxfId="4960" priority="2155" operator="between">
      <formula>0.56251</formula>
      <formula>0.7125</formula>
    </cfRule>
    <cfRule type="cellIs" dxfId="4959" priority="2156" operator="between">
      <formula>0.3751</formula>
      <formula>0.5625</formula>
    </cfRule>
    <cfRule type="cellIs" dxfId="4958" priority="2157" operator="greaterThan">
      <formula>0.751</formula>
    </cfRule>
    <cfRule type="cellIs" dxfId="4957" priority="2158" operator="between">
      <formula>0.71251</formula>
      <formula>0.75</formula>
    </cfRule>
    <cfRule type="cellIs" dxfId="4956" priority="2159" stopIfTrue="1" operator="between">
      <formula>0</formula>
      <formula>0.375</formula>
    </cfRule>
  </conditionalFormatting>
  <conditionalFormatting sqref="Z349">
    <cfRule type="cellIs" dxfId="4955" priority="2150" operator="between">
      <formula>0.76</formula>
      <formula>0.95</formula>
    </cfRule>
    <cfRule type="cellIs" dxfId="4954" priority="2151" operator="between">
      <formula>0.51</formula>
      <formula>0.75</formula>
    </cfRule>
    <cfRule type="cellIs" dxfId="4953" priority="2152" operator="greaterThan">
      <formula>1</formula>
    </cfRule>
    <cfRule type="cellIs" dxfId="4952" priority="2153" operator="between">
      <formula>0.95</formula>
      <formula>1</formula>
    </cfRule>
    <cfRule type="cellIs" dxfId="4951" priority="2154" stopIfTrue="1" operator="between">
      <formula>0</formula>
      <formula>0.5</formula>
    </cfRule>
  </conditionalFormatting>
  <conditionalFormatting sqref="S349">
    <cfRule type="cellIs" dxfId="4950" priority="2145" operator="between">
      <formula>0.76</formula>
      <formula>0.95</formula>
    </cfRule>
    <cfRule type="cellIs" dxfId="4949" priority="2146" operator="between">
      <formula>0.51</formula>
      <formula>0.75</formula>
    </cfRule>
    <cfRule type="cellIs" dxfId="4948" priority="2147" operator="greaterThan">
      <formula>1</formula>
    </cfRule>
    <cfRule type="cellIs" dxfId="4947" priority="2148" operator="between">
      <formula>0.95</formula>
      <formula>1</formula>
    </cfRule>
    <cfRule type="cellIs" dxfId="4946" priority="2149" stopIfTrue="1" operator="between">
      <formula>0</formula>
      <formula>0.5</formula>
    </cfRule>
  </conditionalFormatting>
  <conditionalFormatting sqref="V349">
    <cfRule type="cellIs" dxfId="4945" priority="2140" operator="between">
      <formula>0.376</formula>
      <formula>0.475</formula>
    </cfRule>
    <cfRule type="cellIs" dxfId="4944" priority="2141" operator="between">
      <formula>0.2551</formula>
      <formula>0.3751</formula>
    </cfRule>
    <cfRule type="cellIs" dxfId="4943" priority="2142" operator="greaterThan">
      <formula>0.505</formula>
    </cfRule>
    <cfRule type="cellIs" dxfId="4942" priority="2143" operator="between">
      <formula>0.48</formula>
      <formula>0.5</formula>
    </cfRule>
    <cfRule type="cellIs" dxfId="4941" priority="2144" stopIfTrue="1" operator="between">
      <formula>0</formula>
      <formula>0.255</formula>
    </cfRule>
  </conditionalFormatting>
  <conditionalFormatting sqref="AG349">
    <cfRule type="cellIs" dxfId="4940" priority="2135" operator="between">
      <formula>0.76</formula>
      <formula>0.95</formula>
    </cfRule>
    <cfRule type="cellIs" dxfId="4939" priority="2136" operator="between">
      <formula>0.51</formula>
      <formula>0.75</formula>
    </cfRule>
    <cfRule type="cellIs" dxfId="4938" priority="2137" operator="greaterThan">
      <formula>1</formula>
    </cfRule>
    <cfRule type="cellIs" dxfId="4937" priority="2138" operator="between">
      <formula>0.95</formula>
      <formula>1</formula>
    </cfRule>
    <cfRule type="cellIs" dxfId="4936" priority="2139" stopIfTrue="1" operator="between">
      <formula>0</formula>
      <formula>0.5</formula>
    </cfRule>
  </conditionalFormatting>
  <conditionalFormatting sqref="AI350">
    <cfRule type="cellIs" dxfId="4935" priority="2121" operator="between">
      <formula>0.76</formula>
      <formula>0.95</formula>
    </cfRule>
    <cfRule type="cellIs" dxfId="4934" priority="2122" operator="between">
      <formula>0.51</formula>
      <formula>0.75</formula>
    </cfRule>
    <cfRule type="cellIs" dxfId="4933" priority="2123" operator="greaterThan">
      <formula>1</formula>
    </cfRule>
    <cfRule type="cellIs" dxfId="4932" priority="2124" operator="between">
      <formula>0.95</formula>
      <formula>1</formula>
    </cfRule>
    <cfRule type="cellIs" dxfId="4931" priority="2125" stopIfTrue="1" operator="between">
      <formula>0</formula>
      <formula>0.5</formula>
    </cfRule>
  </conditionalFormatting>
  <conditionalFormatting sqref="R350">
    <cfRule type="cellIs" dxfId="4930" priority="2116" operator="between">
      <formula>0.76</formula>
      <formula>0.95</formula>
    </cfRule>
    <cfRule type="cellIs" dxfId="4929" priority="2117" operator="between">
      <formula>0.51</formula>
      <formula>0.75</formula>
    </cfRule>
    <cfRule type="cellIs" dxfId="4928" priority="2118" operator="greaterThan">
      <formula>1</formula>
    </cfRule>
    <cfRule type="cellIs" dxfId="4927" priority="2119" operator="between">
      <formula>0.95</formula>
      <formula>1</formula>
    </cfRule>
    <cfRule type="cellIs" dxfId="4926" priority="2120" stopIfTrue="1" operator="between">
      <formula>0</formula>
      <formula>0.5</formula>
    </cfRule>
  </conditionalFormatting>
  <conditionalFormatting sqref="Y350">
    <cfRule type="cellIs" dxfId="4925" priority="2111" operator="between">
      <formula>0.76</formula>
      <formula>0.95</formula>
    </cfRule>
    <cfRule type="cellIs" dxfId="4924" priority="2112" operator="between">
      <formula>0.51</formula>
      <formula>0.75</formula>
    </cfRule>
    <cfRule type="cellIs" dxfId="4923" priority="2113" operator="greaterThan">
      <formula>1</formula>
    </cfRule>
    <cfRule type="cellIs" dxfId="4922" priority="2114" operator="between">
      <formula>0.95</formula>
      <formula>1</formula>
    </cfRule>
    <cfRule type="cellIs" dxfId="4921" priority="2115" stopIfTrue="1" operator="between">
      <formula>0</formula>
      <formula>0.5</formula>
    </cfRule>
  </conditionalFormatting>
  <conditionalFormatting sqref="AF350">
    <cfRule type="cellIs" dxfId="4920" priority="2106" operator="between">
      <formula>0.76</formula>
      <formula>0.95</formula>
    </cfRule>
    <cfRule type="cellIs" dxfId="4919" priority="2107" operator="between">
      <formula>0.51</formula>
      <formula>0.75</formula>
    </cfRule>
    <cfRule type="cellIs" dxfId="4918" priority="2108" operator="greaterThan">
      <formula>1</formula>
    </cfRule>
    <cfRule type="cellIs" dxfId="4917" priority="2109" operator="between">
      <formula>0.95</formula>
      <formula>1</formula>
    </cfRule>
    <cfRule type="cellIs" dxfId="4916" priority="2110" stopIfTrue="1" operator="between">
      <formula>0</formula>
      <formula>0.5</formula>
    </cfRule>
  </conditionalFormatting>
  <conditionalFormatting sqref="AH350">
    <cfRule type="cellIs" dxfId="4915" priority="2101" operator="between">
      <formula>0.76</formula>
      <formula>0.95</formula>
    </cfRule>
    <cfRule type="cellIs" dxfId="4914" priority="2102" operator="between">
      <formula>0.51</formula>
      <formula>0.75</formula>
    </cfRule>
    <cfRule type="cellIs" dxfId="4913" priority="2103" operator="greaterThan">
      <formula>1</formula>
    </cfRule>
    <cfRule type="cellIs" dxfId="4912" priority="2104" operator="between">
      <formula>0.95</formula>
      <formula>1</formula>
    </cfRule>
    <cfRule type="cellIs" dxfId="4911" priority="2105" stopIfTrue="1" operator="between">
      <formula>0</formula>
      <formula>0.5</formula>
    </cfRule>
  </conditionalFormatting>
  <conditionalFormatting sqref="T350">
    <cfRule type="cellIs" dxfId="4910" priority="2096" operator="between">
      <formula>0.3751</formula>
      <formula>0.475</formula>
    </cfRule>
    <cfRule type="cellIs" dxfId="4909" priority="2097" operator="between">
      <formula>0.2551</formula>
      <formula>0.375</formula>
    </cfRule>
    <cfRule type="cellIs" dxfId="4908" priority="2098" operator="greaterThan">
      <formula>0.505</formula>
    </cfRule>
    <cfRule type="cellIs" dxfId="4907" priority="2099" operator="between">
      <formula>0.48</formula>
      <formula>0.5</formula>
    </cfRule>
    <cfRule type="cellIs" dxfId="4906" priority="2100" stopIfTrue="1" operator="between">
      <formula>0</formula>
      <formula>0.255</formula>
    </cfRule>
  </conditionalFormatting>
  <conditionalFormatting sqref="U350">
    <cfRule type="cellIs" dxfId="4905" priority="2091" operator="between">
      <formula>0.376</formula>
      <formula>0.475</formula>
    </cfRule>
    <cfRule type="cellIs" dxfId="4904" priority="2092" operator="between">
      <formula>0.2551</formula>
      <formula>0.3751</formula>
    </cfRule>
    <cfRule type="cellIs" dxfId="4903" priority="2093" operator="greaterThan">
      <formula>0.505</formula>
    </cfRule>
    <cfRule type="cellIs" dxfId="4902" priority="2094" operator="between">
      <formula>0.48</formula>
      <formula>0.5</formula>
    </cfRule>
    <cfRule type="cellIs" dxfId="4901" priority="2095" stopIfTrue="1" operator="between">
      <formula>0</formula>
      <formula>0.255</formula>
    </cfRule>
  </conditionalFormatting>
  <conditionalFormatting sqref="AA350">
    <cfRule type="cellIs" dxfId="4900" priority="2086" operator="between">
      <formula>0.56251</formula>
      <formula>0.7125</formula>
    </cfRule>
    <cfRule type="cellIs" dxfId="4899" priority="2087" operator="between">
      <formula>0.3751</formula>
      <formula>0.5625</formula>
    </cfRule>
    <cfRule type="cellIs" dxfId="4898" priority="2088" operator="greaterThan">
      <formula>0.751</formula>
    </cfRule>
    <cfRule type="cellIs" dxfId="4897" priority="2089" operator="between">
      <formula>0.71251</formula>
      <formula>0.75</formula>
    </cfRule>
    <cfRule type="cellIs" dxfId="4896" priority="2090" stopIfTrue="1" operator="between">
      <formula>0</formula>
      <formula>0.375</formula>
    </cfRule>
  </conditionalFormatting>
  <conditionalFormatting sqref="AC350">
    <cfRule type="cellIs" dxfId="4895" priority="2081" operator="between">
      <formula>0.56251</formula>
      <formula>0.7125</formula>
    </cfRule>
    <cfRule type="cellIs" dxfId="4894" priority="2082" operator="between">
      <formula>0.3751</formula>
      <formula>0.5625</formula>
    </cfRule>
    <cfRule type="cellIs" dxfId="4893" priority="2083" operator="greaterThan">
      <formula>0.751</formula>
    </cfRule>
    <cfRule type="cellIs" dxfId="4892" priority="2084" operator="between">
      <formula>0.71251</formula>
      <formula>0.75</formula>
    </cfRule>
    <cfRule type="cellIs" dxfId="4891" priority="2085" stopIfTrue="1" operator="between">
      <formula>0</formula>
      <formula>0.375</formula>
    </cfRule>
  </conditionalFormatting>
  <conditionalFormatting sqref="AB350">
    <cfRule type="cellIs" dxfId="4890" priority="2076" operator="between">
      <formula>0.56251</formula>
      <formula>0.7125</formula>
    </cfRule>
    <cfRule type="cellIs" dxfId="4889" priority="2077" operator="between">
      <formula>0.3751</formula>
      <formula>0.5625</formula>
    </cfRule>
    <cfRule type="cellIs" dxfId="4888" priority="2078" operator="greaterThan">
      <formula>0.751</formula>
    </cfRule>
    <cfRule type="cellIs" dxfId="4887" priority="2079" operator="between">
      <formula>0.71251</formula>
      <formula>0.75</formula>
    </cfRule>
    <cfRule type="cellIs" dxfId="4886" priority="2080" stopIfTrue="1" operator="between">
      <formula>0</formula>
      <formula>0.375</formula>
    </cfRule>
  </conditionalFormatting>
  <conditionalFormatting sqref="Z350">
    <cfRule type="cellIs" dxfId="4885" priority="2071" operator="between">
      <formula>0.76</formula>
      <formula>0.95</formula>
    </cfRule>
    <cfRule type="cellIs" dxfId="4884" priority="2072" operator="between">
      <formula>0.51</formula>
      <formula>0.75</formula>
    </cfRule>
    <cfRule type="cellIs" dxfId="4883" priority="2073" operator="greaterThan">
      <formula>1</formula>
    </cfRule>
    <cfRule type="cellIs" dxfId="4882" priority="2074" operator="between">
      <formula>0.95</formula>
      <formula>1</formula>
    </cfRule>
    <cfRule type="cellIs" dxfId="4881" priority="2075" stopIfTrue="1" operator="between">
      <formula>0</formula>
      <formula>0.5</formula>
    </cfRule>
  </conditionalFormatting>
  <conditionalFormatting sqref="S350">
    <cfRule type="cellIs" dxfId="4880" priority="2066" operator="between">
      <formula>0.76</formula>
      <formula>0.95</formula>
    </cfRule>
    <cfRule type="cellIs" dxfId="4879" priority="2067" operator="between">
      <formula>0.51</formula>
      <formula>0.75</formula>
    </cfRule>
    <cfRule type="cellIs" dxfId="4878" priority="2068" operator="greaterThan">
      <formula>1</formula>
    </cfRule>
    <cfRule type="cellIs" dxfId="4877" priority="2069" operator="between">
      <formula>0.95</formula>
      <formula>1</formula>
    </cfRule>
    <cfRule type="cellIs" dxfId="4876" priority="2070" stopIfTrue="1" operator="between">
      <formula>0</formula>
      <formula>0.5</formula>
    </cfRule>
  </conditionalFormatting>
  <conditionalFormatting sqref="V350">
    <cfRule type="cellIs" dxfId="4875" priority="2061" operator="between">
      <formula>0.376</formula>
      <formula>0.475</formula>
    </cfRule>
    <cfRule type="cellIs" dxfId="4874" priority="2062" operator="between">
      <formula>0.2551</formula>
      <formula>0.3751</formula>
    </cfRule>
    <cfRule type="cellIs" dxfId="4873" priority="2063" operator="greaterThan">
      <formula>0.505</formula>
    </cfRule>
    <cfRule type="cellIs" dxfId="4872" priority="2064" operator="between">
      <formula>0.48</formula>
      <formula>0.5</formula>
    </cfRule>
    <cfRule type="cellIs" dxfId="4871" priority="2065" stopIfTrue="1" operator="between">
      <formula>0</formula>
      <formula>0.255</formula>
    </cfRule>
  </conditionalFormatting>
  <conditionalFormatting sqref="AG350">
    <cfRule type="cellIs" dxfId="4870" priority="2056" operator="between">
      <formula>0.76</formula>
      <formula>0.95</formula>
    </cfRule>
    <cfRule type="cellIs" dxfId="4869" priority="2057" operator="between">
      <formula>0.51</formula>
      <formula>0.75</formula>
    </cfRule>
    <cfRule type="cellIs" dxfId="4868" priority="2058" operator="greaterThan">
      <formula>1</formula>
    </cfRule>
    <cfRule type="cellIs" dxfId="4867" priority="2059" operator="between">
      <formula>0.95</formula>
      <formula>1</formula>
    </cfRule>
    <cfRule type="cellIs" dxfId="4866" priority="2060" stopIfTrue="1" operator="between">
      <formula>0</formula>
      <formula>0.5</formula>
    </cfRule>
  </conditionalFormatting>
  <conditionalFormatting sqref="AF119 R119 Y119 AH119:AI119">
    <cfRule type="cellIs" dxfId="4865" priority="2042" operator="between">
      <formula>0.76</formula>
      <formula>0.95</formula>
    </cfRule>
    <cfRule type="cellIs" dxfId="4864" priority="2043" operator="between">
      <formula>0.51</formula>
      <formula>0.75</formula>
    </cfRule>
    <cfRule type="cellIs" dxfId="4863" priority="2044" operator="greaterThan">
      <formula>1</formula>
    </cfRule>
    <cfRule type="cellIs" dxfId="4862" priority="2045" operator="between">
      <formula>0.95</formula>
      <formula>1</formula>
    </cfRule>
    <cfRule type="cellIs" dxfId="4861" priority="2046" stopIfTrue="1" operator="between">
      <formula>0</formula>
      <formula>0.5</formula>
    </cfRule>
  </conditionalFormatting>
  <conditionalFormatting sqref="T119">
    <cfRule type="cellIs" dxfId="4860" priority="2037" operator="between">
      <formula>0.3751</formula>
      <formula>0.475</formula>
    </cfRule>
    <cfRule type="cellIs" dxfId="4859" priority="2038" operator="between">
      <formula>0.2551</formula>
      <formula>0.375</formula>
    </cfRule>
    <cfRule type="cellIs" dxfId="4858" priority="2039" operator="greaterThan">
      <formula>0.505</formula>
    </cfRule>
    <cfRule type="cellIs" dxfId="4857" priority="2040" operator="between">
      <formula>0.48</formula>
      <formula>0.5</formula>
    </cfRule>
    <cfRule type="cellIs" dxfId="4856" priority="2041" stopIfTrue="1" operator="between">
      <formula>0</formula>
      <formula>0.255</formula>
    </cfRule>
  </conditionalFormatting>
  <conditionalFormatting sqref="AA119:AB119">
    <cfRule type="cellIs" dxfId="4855" priority="2032" operator="between">
      <formula>0.56251</formula>
      <formula>0.7125</formula>
    </cfRule>
    <cfRule type="cellIs" dxfId="4854" priority="2033" operator="between">
      <formula>0.3751</formula>
      <formula>0.5625</formula>
    </cfRule>
    <cfRule type="cellIs" dxfId="4853" priority="2034" operator="greaterThan">
      <formula>0.751</formula>
    </cfRule>
    <cfRule type="cellIs" dxfId="4852" priority="2035" operator="between">
      <formula>0.71251</formula>
      <formula>0.75</formula>
    </cfRule>
    <cfRule type="cellIs" dxfId="4851" priority="2036" stopIfTrue="1" operator="between">
      <formula>0</formula>
      <formula>0.375</formula>
    </cfRule>
  </conditionalFormatting>
  <conditionalFormatting sqref="U119">
    <cfRule type="cellIs" dxfId="4850" priority="2027" operator="between">
      <formula>0.376</formula>
      <formula>0.475</formula>
    </cfRule>
    <cfRule type="cellIs" dxfId="4849" priority="2028" operator="between">
      <formula>0.2551</formula>
      <formula>0.3751</formula>
    </cfRule>
    <cfRule type="cellIs" dxfId="4848" priority="2029" operator="greaterThan">
      <formula>0.505</formula>
    </cfRule>
    <cfRule type="cellIs" dxfId="4847" priority="2030" operator="between">
      <formula>0.48</formula>
      <formula>0.5</formula>
    </cfRule>
    <cfRule type="cellIs" dxfId="4846" priority="2031" stopIfTrue="1" operator="between">
      <formula>0</formula>
      <formula>0.255</formula>
    </cfRule>
  </conditionalFormatting>
  <conditionalFormatting sqref="AC119">
    <cfRule type="cellIs" dxfId="4845" priority="2005" operator="between">
      <formula>0.56251</formula>
      <formula>0.7125</formula>
    </cfRule>
    <cfRule type="cellIs" dxfId="4844" priority="2006" operator="between">
      <formula>0.3751</formula>
      <formula>0.5625</formula>
    </cfRule>
    <cfRule type="cellIs" dxfId="4843" priority="2007" operator="greaterThan">
      <formula>0.751</formula>
    </cfRule>
    <cfRule type="cellIs" dxfId="4842" priority="2008" operator="between">
      <formula>0.71251</formula>
      <formula>0.75</formula>
    </cfRule>
    <cfRule type="cellIs" dxfId="4841" priority="2009" stopIfTrue="1" operator="between">
      <formula>0</formula>
      <formula>0.375</formula>
    </cfRule>
  </conditionalFormatting>
  <conditionalFormatting sqref="S119">
    <cfRule type="cellIs" dxfId="4840" priority="2000" operator="between">
      <formula>0.76</formula>
      <formula>0.95</formula>
    </cfRule>
    <cfRule type="cellIs" dxfId="4839" priority="2001" operator="between">
      <formula>0.51</formula>
      <formula>0.75</formula>
    </cfRule>
    <cfRule type="cellIs" dxfId="4838" priority="2002" operator="greaterThan">
      <formula>1</formula>
    </cfRule>
    <cfRule type="cellIs" dxfId="4837" priority="2003" operator="between">
      <formula>0.95</formula>
      <formula>1</formula>
    </cfRule>
    <cfRule type="cellIs" dxfId="4836" priority="2004" stopIfTrue="1" operator="between">
      <formula>0</formula>
      <formula>0.5</formula>
    </cfRule>
  </conditionalFormatting>
  <conditionalFormatting sqref="V119">
    <cfRule type="cellIs" dxfId="4835" priority="1995" operator="between">
      <formula>0.376</formula>
      <formula>0.475</formula>
    </cfRule>
    <cfRule type="cellIs" dxfId="4834" priority="1996" operator="between">
      <formula>0.2551</formula>
      <formula>0.3751</formula>
    </cfRule>
    <cfRule type="cellIs" dxfId="4833" priority="1997" operator="greaterThan">
      <formula>0.505</formula>
    </cfRule>
    <cfRule type="cellIs" dxfId="4832" priority="1998" operator="between">
      <formula>0.48</formula>
      <formula>0.5</formula>
    </cfRule>
    <cfRule type="cellIs" dxfId="4831" priority="1999" stopIfTrue="1" operator="between">
      <formula>0</formula>
      <formula>0.255</formula>
    </cfRule>
  </conditionalFormatting>
  <conditionalFormatting sqref="AG119">
    <cfRule type="cellIs" dxfId="4830" priority="1990" operator="between">
      <formula>0.76</formula>
      <formula>0.95</formula>
    </cfRule>
    <cfRule type="cellIs" dxfId="4829" priority="1991" operator="between">
      <formula>0.51</formula>
      <formula>0.75</formula>
    </cfRule>
    <cfRule type="cellIs" dxfId="4828" priority="1992" operator="greaterThan">
      <formula>1</formula>
    </cfRule>
    <cfRule type="cellIs" dxfId="4827" priority="1993" operator="between">
      <formula>0.95</formula>
      <formula>1</formula>
    </cfRule>
    <cfRule type="cellIs" dxfId="4826" priority="1994" stopIfTrue="1" operator="between">
      <formula>0</formula>
      <formula>0.5</formula>
    </cfRule>
  </conditionalFormatting>
  <conditionalFormatting sqref="AF120 R120 Y120 AH120:AI120">
    <cfRule type="cellIs" dxfId="4825" priority="1985" operator="between">
      <formula>0.76</formula>
      <formula>0.95</formula>
    </cfRule>
    <cfRule type="cellIs" dxfId="4824" priority="1986" operator="between">
      <formula>0.51</formula>
      <formula>0.75</formula>
    </cfRule>
    <cfRule type="cellIs" dxfId="4823" priority="1987" operator="greaterThan">
      <formula>1</formula>
    </cfRule>
    <cfRule type="cellIs" dxfId="4822" priority="1988" operator="between">
      <formula>0.95</formula>
      <formula>1</formula>
    </cfRule>
    <cfRule type="cellIs" dxfId="4821" priority="1989" stopIfTrue="1" operator="between">
      <formula>0</formula>
      <formula>0.5</formula>
    </cfRule>
  </conditionalFormatting>
  <conditionalFormatting sqref="T120">
    <cfRule type="cellIs" dxfId="4820" priority="1980" operator="between">
      <formula>0.3751</formula>
      <formula>0.475</formula>
    </cfRule>
    <cfRule type="cellIs" dxfId="4819" priority="1981" operator="between">
      <formula>0.2551</formula>
      <formula>0.375</formula>
    </cfRule>
    <cfRule type="cellIs" dxfId="4818" priority="1982" operator="greaterThan">
      <formula>0.505</formula>
    </cfRule>
    <cfRule type="cellIs" dxfId="4817" priority="1983" operator="between">
      <formula>0.48</formula>
      <formula>0.5</formula>
    </cfRule>
    <cfRule type="cellIs" dxfId="4816" priority="1984" stopIfTrue="1" operator="between">
      <formula>0</formula>
      <formula>0.255</formula>
    </cfRule>
  </conditionalFormatting>
  <conditionalFormatting sqref="AA120:AB120">
    <cfRule type="cellIs" dxfId="4815" priority="1975" operator="between">
      <formula>0.56251</formula>
      <formula>0.7125</formula>
    </cfRule>
    <cfRule type="cellIs" dxfId="4814" priority="1976" operator="between">
      <formula>0.3751</formula>
      <formula>0.5625</formula>
    </cfRule>
    <cfRule type="cellIs" dxfId="4813" priority="1977" operator="greaterThan">
      <formula>0.751</formula>
    </cfRule>
    <cfRule type="cellIs" dxfId="4812" priority="1978" operator="between">
      <formula>0.71251</formula>
      <formula>0.75</formula>
    </cfRule>
    <cfRule type="cellIs" dxfId="4811" priority="1979" stopIfTrue="1" operator="between">
      <formula>0</formula>
      <formula>0.375</formula>
    </cfRule>
  </conditionalFormatting>
  <conditionalFormatting sqref="U120">
    <cfRule type="cellIs" dxfId="4810" priority="1970" operator="between">
      <formula>0.376</formula>
      <formula>0.475</formula>
    </cfRule>
    <cfRule type="cellIs" dxfId="4809" priority="1971" operator="between">
      <formula>0.2551</formula>
      <formula>0.3751</formula>
    </cfRule>
    <cfRule type="cellIs" dxfId="4808" priority="1972" operator="greaterThan">
      <formula>0.505</formula>
    </cfRule>
    <cfRule type="cellIs" dxfId="4807" priority="1973" operator="between">
      <formula>0.48</formula>
      <formula>0.5</formula>
    </cfRule>
    <cfRule type="cellIs" dxfId="4806" priority="1974" stopIfTrue="1" operator="between">
      <formula>0</formula>
      <formula>0.255</formula>
    </cfRule>
  </conditionalFormatting>
  <conditionalFormatting sqref="Z120">
    <cfRule type="cellIs" dxfId="4805" priority="1953" operator="between">
      <formula>0.76</formula>
      <formula>0.95</formula>
    </cfRule>
    <cfRule type="cellIs" dxfId="4804" priority="1954" operator="between">
      <formula>0.51</formula>
      <formula>0.75</formula>
    </cfRule>
    <cfRule type="cellIs" dxfId="4803" priority="1955" operator="greaterThan">
      <formula>1</formula>
    </cfRule>
    <cfRule type="cellIs" dxfId="4802" priority="1956" operator="between">
      <formula>0.95</formula>
      <formula>1</formula>
    </cfRule>
    <cfRule type="cellIs" dxfId="4801" priority="1957" stopIfTrue="1" operator="between">
      <formula>0</formula>
      <formula>0.5</formula>
    </cfRule>
  </conditionalFormatting>
  <conditionalFormatting sqref="AC120">
    <cfRule type="cellIs" dxfId="4800" priority="1948" operator="between">
      <formula>0.56251</formula>
      <formula>0.7125</formula>
    </cfRule>
    <cfRule type="cellIs" dxfId="4799" priority="1949" operator="between">
      <formula>0.3751</formula>
      <formula>0.5625</formula>
    </cfRule>
    <cfRule type="cellIs" dxfId="4798" priority="1950" operator="greaterThan">
      <formula>0.751</formula>
    </cfRule>
    <cfRule type="cellIs" dxfId="4797" priority="1951" operator="between">
      <formula>0.71251</formula>
      <formula>0.75</formula>
    </cfRule>
    <cfRule type="cellIs" dxfId="4796" priority="1952" stopIfTrue="1" operator="between">
      <formula>0</formula>
      <formula>0.375</formula>
    </cfRule>
  </conditionalFormatting>
  <conditionalFormatting sqref="S120">
    <cfRule type="cellIs" dxfId="4795" priority="1943" operator="between">
      <formula>0.76</formula>
      <formula>0.95</formula>
    </cfRule>
    <cfRule type="cellIs" dxfId="4794" priority="1944" operator="between">
      <formula>0.51</formula>
      <formula>0.75</formula>
    </cfRule>
    <cfRule type="cellIs" dxfId="4793" priority="1945" operator="greaterThan">
      <formula>1</formula>
    </cfRule>
    <cfRule type="cellIs" dxfId="4792" priority="1946" operator="between">
      <formula>0.95</formula>
      <formula>1</formula>
    </cfRule>
    <cfRule type="cellIs" dxfId="4791" priority="1947" stopIfTrue="1" operator="between">
      <formula>0</formula>
      <formula>0.5</formula>
    </cfRule>
  </conditionalFormatting>
  <conditionalFormatting sqref="V120">
    <cfRule type="cellIs" dxfId="4790" priority="1938" operator="between">
      <formula>0.376</formula>
      <formula>0.475</formula>
    </cfRule>
    <cfRule type="cellIs" dxfId="4789" priority="1939" operator="between">
      <formula>0.2551</formula>
      <formula>0.3751</formula>
    </cfRule>
    <cfRule type="cellIs" dxfId="4788" priority="1940" operator="greaterThan">
      <formula>0.505</formula>
    </cfRule>
    <cfRule type="cellIs" dxfId="4787" priority="1941" operator="between">
      <formula>0.48</formula>
      <formula>0.5</formula>
    </cfRule>
    <cfRule type="cellIs" dxfId="4786" priority="1942" stopIfTrue="1" operator="between">
      <formula>0</formula>
      <formula>0.255</formula>
    </cfRule>
  </conditionalFormatting>
  <conditionalFormatting sqref="AG120">
    <cfRule type="cellIs" dxfId="4785" priority="1933" operator="between">
      <formula>0.76</formula>
      <formula>0.95</formula>
    </cfRule>
    <cfRule type="cellIs" dxfId="4784" priority="1934" operator="between">
      <formula>0.51</formula>
      <formula>0.75</formula>
    </cfRule>
    <cfRule type="cellIs" dxfId="4783" priority="1935" operator="greaterThan">
      <formula>1</formula>
    </cfRule>
    <cfRule type="cellIs" dxfId="4782" priority="1936" operator="between">
      <formula>0.95</formula>
      <formula>1</formula>
    </cfRule>
    <cfRule type="cellIs" dxfId="4781" priority="1937" stopIfTrue="1" operator="between">
      <formula>0</formula>
      <formula>0.5</formula>
    </cfRule>
  </conditionalFormatting>
  <conditionalFormatting sqref="Z97">
    <cfRule type="cellIs" dxfId="4780" priority="1758" operator="between">
      <formula>0.76</formula>
      <formula>0.95</formula>
    </cfRule>
    <cfRule type="cellIs" dxfId="4779" priority="1759" operator="between">
      <formula>0.51</formula>
      <formula>0.75</formula>
    </cfRule>
    <cfRule type="cellIs" dxfId="4778" priority="1760" operator="greaterThan">
      <formula>1</formula>
    </cfRule>
    <cfRule type="cellIs" dxfId="4777" priority="1761" operator="between">
      <formula>0.95</formula>
      <formula>1</formula>
    </cfRule>
    <cfRule type="cellIs" dxfId="4776" priority="1762" stopIfTrue="1" operator="between">
      <formula>0</formula>
      <formula>0.5</formula>
    </cfRule>
  </conditionalFormatting>
  <conditionalFormatting sqref="AG97">
    <cfRule type="cellIs" dxfId="4775" priority="1753" operator="between">
      <formula>0.76</formula>
      <formula>0.95</formula>
    </cfRule>
    <cfRule type="cellIs" dxfId="4774" priority="1754" operator="between">
      <formula>0.51</formula>
      <formula>0.75</formula>
    </cfRule>
    <cfRule type="cellIs" dxfId="4773" priority="1755" operator="greaterThan">
      <formula>1</formula>
    </cfRule>
    <cfRule type="cellIs" dxfId="4772" priority="1756" operator="between">
      <formula>0.95</formula>
      <formula>1</formula>
    </cfRule>
    <cfRule type="cellIs" dxfId="4771" priority="1757" stopIfTrue="1" operator="between">
      <formula>0</formula>
      <formula>0.5</formula>
    </cfRule>
  </conditionalFormatting>
  <conditionalFormatting sqref="K347:L347">
    <cfRule type="cellIs" dxfId="4770" priority="1748" operator="between">
      <formula>0.76</formula>
      <formula>0.95</formula>
    </cfRule>
    <cfRule type="cellIs" dxfId="4769" priority="1749" operator="between">
      <formula>0.51</formula>
      <formula>0.75</formula>
    </cfRule>
    <cfRule type="cellIs" dxfId="4768" priority="1750" operator="greaterThan">
      <formula>1</formula>
    </cfRule>
    <cfRule type="cellIs" dxfId="4767" priority="1751" operator="between">
      <formula>0.96</formula>
      <formula>1</formula>
    </cfRule>
    <cfRule type="cellIs" dxfId="4766" priority="1752" stopIfTrue="1" operator="between">
      <formula>0</formula>
      <formula>0.5</formula>
    </cfRule>
  </conditionalFormatting>
  <conditionalFormatting sqref="O347">
    <cfRule type="cellIs" dxfId="4765" priority="1743" operator="between">
      <formula>0.1876</formula>
      <formula>0.2375</formula>
    </cfRule>
    <cfRule type="cellIs" dxfId="4764" priority="1744" operator="between">
      <formula>0.1251</formula>
      <formula>0.1875</formula>
    </cfRule>
    <cfRule type="cellIs" dxfId="4763" priority="1745" operator="greaterThan">
      <formula>0.25</formula>
    </cfRule>
    <cfRule type="cellIs" dxfId="4762" priority="1746" operator="between">
      <formula>0.2375</formula>
      <formula>0.25</formula>
    </cfRule>
    <cfRule type="cellIs" dxfId="4761" priority="1747" stopIfTrue="1" operator="between">
      <formula>0</formula>
      <formula>0.125</formula>
    </cfRule>
  </conditionalFormatting>
  <conditionalFormatting sqref="M347:N347">
    <cfRule type="cellIs" dxfId="4760" priority="1738" operator="between">
      <formula>0.1876</formula>
      <formula>0.2375</formula>
    </cfRule>
    <cfRule type="cellIs" dxfId="4759" priority="1739" operator="between">
      <formula>0.1251</formula>
      <formula>0.1875</formula>
    </cfRule>
    <cfRule type="cellIs" dxfId="4758" priority="1740" operator="greaterThan">
      <formula>0.25</formula>
    </cfRule>
    <cfRule type="cellIs" dxfId="4757" priority="1741" operator="between">
      <formula>0.2376</formula>
      <formula>0.25</formula>
    </cfRule>
    <cfRule type="cellIs" dxfId="4756" priority="1742" stopIfTrue="1" operator="between">
      <formula>0</formula>
      <formula>0.125</formula>
    </cfRule>
  </conditionalFormatting>
  <conditionalFormatting sqref="AI347">
    <cfRule type="cellIs" dxfId="4755" priority="1733" operator="between">
      <formula>0.76</formula>
      <formula>0.95</formula>
    </cfRule>
    <cfRule type="cellIs" dxfId="4754" priority="1734" operator="between">
      <formula>0.51</formula>
      <formula>0.75</formula>
    </cfRule>
    <cfRule type="cellIs" dxfId="4753" priority="1735" operator="greaterThan">
      <formula>1</formula>
    </cfRule>
    <cfRule type="cellIs" dxfId="4752" priority="1736" operator="between">
      <formula>0.95</formula>
      <formula>1</formula>
    </cfRule>
    <cfRule type="cellIs" dxfId="4751" priority="1737" stopIfTrue="1" operator="between">
      <formula>0</formula>
      <formula>0.5</formula>
    </cfRule>
  </conditionalFormatting>
  <conditionalFormatting sqref="R347">
    <cfRule type="cellIs" dxfId="4750" priority="1728" operator="between">
      <formula>0.76</formula>
      <formula>0.95</formula>
    </cfRule>
    <cfRule type="cellIs" dxfId="4749" priority="1729" operator="between">
      <formula>0.51</formula>
      <formula>0.75</formula>
    </cfRule>
    <cfRule type="cellIs" dxfId="4748" priority="1730" operator="greaterThan">
      <formula>1</formula>
    </cfRule>
    <cfRule type="cellIs" dxfId="4747" priority="1731" operator="between">
      <formula>0.95</formula>
      <formula>1</formula>
    </cfRule>
    <cfRule type="cellIs" dxfId="4746" priority="1732" stopIfTrue="1" operator="between">
      <formula>0</formula>
      <formula>0.5</formula>
    </cfRule>
  </conditionalFormatting>
  <conditionalFormatting sqref="Y347">
    <cfRule type="cellIs" dxfId="4745" priority="1723" operator="between">
      <formula>0.76</formula>
      <formula>0.95</formula>
    </cfRule>
    <cfRule type="cellIs" dxfId="4744" priority="1724" operator="between">
      <formula>0.51</formula>
      <formula>0.75</formula>
    </cfRule>
    <cfRule type="cellIs" dxfId="4743" priority="1725" operator="greaterThan">
      <formula>1</formula>
    </cfRule>
    <cfRule type="cellIs" dxfId="4742" priority="1726" operator="between">
      <formula>0.95</formula>
      <formula>1</formula>
    </cfRule>
    <cfRule type="cellIs" dxfId="4741" priority="1727" stopIfTrue="1" operator="between">
      <formula>0</formula>
      <formula>0.5</formula>
    </cfRule>
  </conditionalFormatting>
  <conditionalFormatting sqref="AF347">
    <cfRule type="cellIs" dxfId="4740" priority="1718" operator="between">
      <formula>0.76</formula>
      <formula>0.95</formula>
    </cfRule>
    <cfRule type="cellIs" dxfId="4739" priority="1719" operator="between">
      <formula>0.51</formula>
      <formula>0.75</formula>
    </cfRule>
    <cfRule type="cellIs" dxfId="4738" priority="1720" operator="greaterThan">
      <formula>1</formula>
    </cfRule>
    <cfRule type="cellIs" dxfId="4737" priority="1721" operator="between">
      <formula>0.95</formula>
      <formula>1</formula>
    </cfRule>
    <cfRule type="cellIs" dxfId="4736" priority="1722" stopIfTrue="1" operator="between">
      <formula>0</formula>
      <formula>0.5</formula>
    </cfRule>
  </conditionalFormatting>
  <conditionalFormatting sqref="AH347">
    <cfRule type="cellIs" dxfId="4735" priority="1713" operator="between">
      <formula>0.76</formula>
      <formula>0.95</formula>
    </cfRule>
    <cfRule type="cellIs" dxfId="4734" priority="1714" operator="between">
      <formula>0.51</formula>
      <formula>0.75</formula>
    </cfRule>
    <cfRule type="cellIs" dxfId="4733" priority="1715" operator="greaterThan">
      <formula>1</formula>
    </cfRule>
    <cfRule type="cellIs" dxfId="4732" priority="1716" operator="between">
      <formula>0.95</formula>
      <formula>1</formula>
    </cfRule>
    <cfRule type="cellIs" dxfId="4731" priority="1717" stopIfTrue="1" operator="between">
      <formula>0</formula>
      <formula>0.5</formula>
    </cfRule>
  </conditionalFormatting>
  <conditionalFormatting sqref="T347">
    <cfRule type="cellIs" dxfId="4730" priority="1708" operator="between">
      <formula>0.3751</formula>
      <formula>0.475</formula>
    </cfRule>
    <cfRule type="cellIs" dxfId="4729" priority="1709" operator="between">
      <formula>0.2551</formula>
      <formula>0.375</formula>
    </cfRule>
    <cfRule type="cellIs" dxfId="4728" priority="1710" operator="greaterThan">
      <formula>0.505</formula>
    </cfRule>
    <cfRule type="cellIs" dxfId="4727" priority="1711" operator="between">
      <formula>0.48</formula>
      <formula>0.5</formula>
    </cfRule>
    <cfRule type="cellIs" dxfId="4726" priority="1712" stopIfTrue="1" operator="between">
      <formula>0</formula>
      <formula>0.255</formula>
    </cfRule>
  </conditionalFormatting>
  <conditionalFormatting sqref="U347">
    <cfRule type="cellIs" dxfId="4725" priority="1703" operator="between">
      <formula>0.376</formula>
      <formula>0.475</formula>
    </cfRule>
    <cfRule type="cellIs" dxfId="4724" priority="1704" operator="between">
      <formula>0.2551</formula>
      <formula>0.3751</formula>
    </cfRule>
    <cfRule type="cellIs" dxfId="4723" priority="1705" operator="greaterThan">
      <formula>0.505</formula>
    </cfRule>
    <cfRule type="cellIs" dxfId="4722" priority="1706" operator="between">
      <formula>0.48</formula>
      <formula>0.5</formula>
    </cfRule>
    <cfRule type="cellIs" dxfId="4721" priority="1707" stopIfTrue="1" operator="between">
      <formula>0</formula>
      <formula>0.255</formula>
    </cfRule>
  </conditionalFormatting>
  <conditionalFormatting sqref="AA347">
    <cfRule type="cellIs" dxfId="4720" priority="1698" operator="between">
      <formula>0.56251</formula>
      <formula>0.7125</formula>
    </cfRule>
    <cfRule type="cellIs" dxfId="4719" priority="1699" operator="between">
      <formula>0.3751</formula>
      <formula>0.5625</formula>
    </cfRule>
    <cfRule type="cellIs" dxfId="4718" priority="1700" operator="greaterThan">
      <formula>0.751</formula>
    </cfRule>
    <cfRule type="cellIs" dxfId="4717" priority="1701" operator="between">
      <formula>0.71251</formula>
      <formula>0.75</formula>
    </cfRule>
    <cfRule type="cellIs" dxfId="4716" priority="1702" stopIfTrue="1" operator="between">
      <formula>0</formula>
      <formula>0.375</formula>
    </cfRule>
  </conditionalFormatting>
  <conditionalFormatting sqref="AC347">
    <cfRule type="cellIs" dxfId="4715" priority="1693" operator="between">
      <formula>0.56251</formula>
      <formula>0.7125</formula>
    </cfRule>
    <cfRule type="cellIs" dxfId="4714" priority="1694" operator="between">
      <formula>0.3751</formula>
      <formula>0.5625</formula>
    </cfRule>
    <cfRule type="cellIs" dxfId="4713" priority="1695" operator="greaterThan">
      <formula>0.751</formula>
    </cfRule>
    <cfRule type="cellIs" dxfId="4712" priority="1696" operator="between">
      <formula>0.71251</formula>
      <formula>0.75</formula>
    </cfRule>
    <cfRule type="cellIs" dxfId="4711" priority="1697" stopIfTrue="1" operator="between">
      <formula>0</formula>
      <formula>0.375</formula>
    </cfRule>
  </conditionalFormatting>
  <conditionalFormatting sqref="AB347">
    <cfRule type="cellIs" dxfId="4710" priority="1688" operator="between">
      <formula>0.56251</formula>
      <formula>0.7125</formula>
    </cfRule>
    <cfRule type="cellIs" dxfId="4709" priority="1689" operator="between">
      <formula>0.3751</formula>
      <formula>0.5625</formula>
    </cfRule>
    <cfRule type="cellIs" dxfId="4708" priority="1690" operator="greaterThan">
      <formula>0.751</formula>
    </cfRule>
    <cfRule type="cellIs" dxfId="4707" priority="1691" operator="between">
      <formula>0.71251</formula>
      <formula>0.75</formula>
    </cfRule>
    <cfRule type="cellIs" dxfId="4706" priority="1692" stopIfTrue="1" operator="between">
      <formula>0</formula>
      <formula>0.375</formula>
    </cfRule>
  </conditionalFormatting>
  <conditionalFormatting sqref="Z347">
    <cfRule type="cellIs" dxfId="4705" priority="1683" operator="between">
      <formula>0.76</formula>
      <formula>0.95</formula>
    </cfRule>
    <cfRule type="cellIs" dxfId="4704" priority="1684" operator="between">
      <formula>0.51</formula>
      <formula>0.75</formula>
    </cfRule>
    <cfRule type="cellIs" dxfId="4703" priority="1685" operator="greaterThan">
      <formula>1</formula>
    </cfRule>
    <cfRule type="cellIs" dxfId="4702" priority="1686" operator="between">
      <formula>0.95</formula>
      <formula>1</formula>
    </cfRule>
    <cfRule type="cellIs" dxfId="4701" priority="1687" stopIfTrue="1" operator="between">
      <formula>0</formula>
      <formula>0.5</formula>
    </cfRule>
  </conditionalFormatting>
  <conditionalFormatting sqref="S347">
    <cfRule type="cellIs" dxfId="4700" priority="1678" operator="between">
      <formula>0.76</formula>
      <formula>0.95</formula>
    </cfRule>
    <cfRule type="cellIs" dxfId="4699" priority="1679" operator="between">
      <formula>0.51</formula>
      <formula>0.75</formula>
    </cfRule>
    <cfRule type="cellIs" dxfId="4698" priority="1680" operator="greaterThan">
      <formula>1</formula>
    </cfRule>
    <cfRule type="cellIs" dxfId="4697" priority="1681" operator="between">
      <formula>0.95</formula>
      <formula>1</formula>
    </cfRule>
    <cfRule type="cellIs" dxfId="4696" priority="1682" stopIfTrue="1" operator="between">
      <formula>0</formula>
      <formula>0.5</formula>
    </cfRule>
  </conditionalFormatting>
  <conditionalFormatting sqref="V347">
    <cfRule type="cellIs" dxfId="4695" priority="1673" operator="between">
      <formula>0.376</formula>
      <formula>0.475</formula>
    </cfRule>
    <cfRule type="cellIs" dxfId="4694" priority="1674" operator="between">
      <formula>0.2551</formula>
      <formula>0.3751</formula>
    </cfRule>
    <cfRule type="cellIs" dxfId="4693" priority="1675" operator="greaterThan">
      <formula>0.505</formula>
    </cfRule>
    <cfRule type="cellIs" dxfId="4692" priority="1676" operator="between">
      <formula>0.48</formula>
      <formula>0.5</formula>
    </cfRule>
    <cfRule type="cellIs" dxfId="4691" priority="1677" stopIfTrue="1" operator="between">
      <formula>0</formula>
      <formula>0.255</formula>
    </cfRule>
  </conditionalFormatting>
  <conditionalFormatting sqref="AG347">
    <cfRule type="cellIs" dxfId="4690" priority="1668" operator="between">
      <formula>0.76</formula>
      <formula>0.95</formula>
    </cfRule>
    <cfRule type="cellIs" dxfId="4689" priority="1669" operator="between">
      <formula>0.51</formula>
      <formula>0.75</formula>
    </cfRule>
    <cfRule type="cellIs" dxfId="4688" priority="1670" operator="greaterThan">
      <formula>1</formula>
    </cfRule>
    <cfRule type="cellIs" dxfId="4687" priority="1671" operator="between">
      <formula>0.95</formula>
      <formula>1</formula>
    </cfRule>
    <cfRule type="cellIs" dxfId="4686" priority="1672" stopIfTrue="1" operator="between">
      <formula>0</formula>
      <formula>0.5</formula>
    </cfRule>
  </conditionalFormatting>
  <conditionalFormatting sqref="L327">
    <cfRule type="cellIs" dxfId="4685" priority="1651" operator="between">
      <formula>0.76</formula>
      <formula>0.95</formula>
    </cfRule>
    <cfRule type="cellIs" dxfId="4684" priority="1652" operator="between">
      <formula>0.51</formula>
      <formula>0.75</formula>
    </cfRule>
    <cfRule type="cellIs" dxfId="4683" priority="1653" operator="greaterThan">
      <formula>1</formula>
    </cfRule>
    <cfRule type="cellIs" dxfId="4682" priority="1654" operator="between">
      <formula>0.96</formula>
      <formula>1</formula>
    </cfRule>
    <cfRule type="cellIs" dxfId="4681" priority="1655" stopIfTrue="1" operator="between">
      <formula>0</formula>
      <formula>0.5</formula>
    </cfRule>
  </conditionalFormatting>
  <conditionalFormatting sqref="O327">
    <cfRule type="cellIs" dxfId="4680" priority="1646" operator="between">
      <formula>0.1876</formula>
      <formula>0.2375</formula>
    </cfRule>
    <cfRule type="cellIs" dxfId="4679" priority="1647" operator="between">
      <formula>0.1251</formula>
      <formula>0.1875</formula>
    </cfRule>
    <cfRule type="cellIs" dxfId="4678" priority="1648" operator="greaterThan">
      <formula>0.25</formula>
    </cfRule>
    <cfRule type="cellIs" dxfId="4677" priority="1649" operator="between">
      <formula>0.2375</formula>
      <formula>0.25</formula>
    </cfRule>
    <cfRule type="cellIs" dxfId="4676" priority="1650" stopIfTrue="1" operator="between">
      <formula>0</formula>
      <formula>0.125</formula>
    </cfRule>
  </conditionalFormatting>
  <conditionalFormatting sqref="AG327">
    <cfRule type="cellIs" dxfId="4675" priority="1641" operator="between">
      <formula>0.76</formula>
      <formula>0.95</formula>
    </cfRule>
    <cfRule type="cellIs" dxfId="4674" priority="1642" operator="between">
      <formula>0.51</formula>
      <formula>0.75</formula>
    </cfRule>
    <cfRule type="cellIs" dxfId="4673" priority="1643" operator="greaterThan">
      <formula>1</formula>
    </cfRule>
    <cfRule type="cellIs" dxfId="4672" priority="1644" operator="between">
      <formula>0.95</formula>
      <formula>1</formula>
    </cfRule>
    <cfRule type="cellIs" dxfId="4671" priority="1645" stopIfTrue="1" operator="between">
      <formula>0</formula>
      <formula>0.5</formula>
    </cfRule>
  </conditionalFormatting>
  <conditionalFormatting sqref="K299:L299">
    <cfRule type="cellIs" dxfId="4670" priority="1636" operator="between">
      <formula>0.76</formula>
      <formula>0.95</formula>
    </cfRule>
    <cfRule type="cellIs" dxfId="4669" priority="1637" operator="between">
      <formula>0.51</formula>
      <formula>0.75</formula>
    </cfRule>
    <cfRule type="cellIs" dxfId="4668" priority="1638" operator="greaterThan">
      <formula>1</formula>
    </cfRule>
    <cfRule type="cellIs" dxfId="4667" priority="1639" operator="between">
      <formula>0.96</formula>
      <formula>1</formula>
    </cfRule>
    <cfRule type="cellIs" dxfId="4666" priority="1640" stopIfTrue="1" operator="between">
      <formula>0</formula>
      <formula>0.5</formula>
    </cfRule>
  </conditionalFormatting>
  <conditionalFormatting sqref="O299">
    <cfRule type="cellIs" dxfId="4665" priority="1631" operator="between">
      <formula>0.1876</formula>
      <formula>0.2375</formula>
    </cfRule>
    <cfRule type="cellIs" dxfId="4664" priority="1632" operator="between">
      <formula>0.1251</formula>
      <formula>0.1875</formula>
    </cfRule>
    <cfRule type="cellIs" dxfId="4663" priority="1633" operator="greaterThan">
      <formula>0.25</formula>
    </cfRule>
    <cfRule type="cellIs" dxfId="4662" priority="1634" operator="between">
      <formula>0.2375</formula>
      <formula>0.25</formula>
    </cfRule>
    <cfRule type="cellIs" dxfId="4661" priority="1635" stopIfTrue="1" operator="between">
      <formula>0</formula>
      <formula>0.125</formula>
    </cfRule>
  </conditionalFormatting>
  <conditionalFormatting sqref="M299:N299">
    <cfRule type="cellIs" dxfId="4660" priority="1626" operator="between">
      <formula>0.1876</formula>
      <formula>0.2375</formula>
    </cfRule>
    <cfRule type="cellIs" dxfId="4659" priority="1627" operator="between">
      <formula>0.1251</formula>
      <formula>0.1875</formula>
    </cfRule>
    <cfRule type="cellIs" dxfId="4658" priority="1628" operator="greaterThan">
      <formula>0.25</formula>
    </cfRule>
    <cfRule type="cellIs" dxfId="4657" priority="1629" operator="between">
      <formula>0.2376</formula>
      <formula>0.25</formula>
    </cfRule>
    <cfRule type="cellIs" dxfId="4656" priority="1630" stopIfTrue="1" operator="between">
      <formula>0</formula>
      <formula>0.125</formula>
    </cfRule>
  </conditionalFormatting>
  <conditionalFormatting sqref="Y299 AF299 R299 AH299:AI299">
    <cfRule type="cellIs" dxfId="4655" priority="1621" operator="between">
      <formula>0.76</formula>
      <formula>0.95</formula>
    </cfRule>
    <cfRule type="cellIs" dxfId="4654" priority="1622" operator="between">
      <formula>0.51</formula>
      <formula>0.75</formula>
    </cfRule>
    <cfRule type="cellIs" dxfId="4653" priority="1623" operator="greaterThan">
      <formula>1</formula>
    </cfRule>
    <cfRule type="cellIs" dxfId="4652" priority="1624" operator="between">
      <formula>0.95</formula>
      <formula>1</formula>
    </cfRule>
    <cfRule type="cellIs" dxfId="4651" priority="1625" stopIfTrue="1" operator="between">
      <formula>0</formula>
      <formula>0.5</formula>
    </cfRule>
  </conditionalFormatting>
  <conditionalFormatting sqref="T299">
    <cfRule type="cellIs" dxfId="4650" priority="1616" operator="between">
      <formula>0.3751</formula>
      <formula>0.475</formula>
    </cfRule>
    <cfRule type="cellIs" dxfId="4649" priority="1617" operator="between">
      <formula>0.2551</formula>
      <formula>0.375</formula>
    </cfRule>
    <cfRule type="cellIs" dxfId="4648" priority="1618" operator="greaterThan">
      <formula>0.505</formula>
    </cfRule>
    <cfRule type="cellIs" dxfId="4647" priority="1619" operator="between">
      <formula>0.48</formula>
      <formula>0.5</formula>
    </cfRule>
    <cfRule type="cellIs" dxfId="4646" priority="1620" stopIfTrue="1" operator="between">
      <formula>0</formula>
      <formula>0.255</formula>
    </cfRule>
  </conditionalFormatting>
  <conditionalFormatting sqref="AA299:AB299">
    <cfRule type="cellIs" dxfId="4645" priority="1611" operator="between">
      <formula>0.56251</formula>
      <formula>0.7125</formula>
    </cfRule>
    <cfRule type="cellIs" dxfId="4644" priority="1612" operator="between">
      <formula>0.3751</formula>
      <formula>0.5625</formula>
    </cfRule>
    <cfRule type="cellIs" dxfId="4643" priority="1613" operator="greaterThan">
      <formula>0.751</formula>
    </cfRule>
    <cfRule type="cellIs" dxfId="4642" priority="1614" operator="between">
      <formula>0.71251</formula>
      <formula>0.75</formula>
    </cfRule>
    <cfRule type="cellIs" dxfId="4641" priority="1615" stopIfTrue="1" operator="between">
      <formula>0</formula>
      <formula>0.375</formula>
    </cfRule>
  </conditionalFormatting>
  <conditionalFormatting sqref="U299">
    <cfRule type="cellIs" dxfId="4640" priority="1606" operator="between">
      <formula>0.376</formula>
      <formula>0.475</formula>
    </cfRule>
    <cfRule type="cellIs" dxfId="4639" priority="1607" operator="between">
      <formula>0.2551</formula>
      <formula>0.3751</formula>
    </cfRule>
    <cfRule type="cellIs" dxfId="4638" priority="1608" operator="greaterThan">
      <formula>0.505</formula>
    </cfRule>
    <cfRule type="cellIs" dxfId="4637" priority="1609" operator="between">
      <formula>0.48</formula>
      <formula>0.5</formula>
    </cfRule>
    <cfRule type="cellIs" dxfId="4636" priority="1610" stopIfTrue="1" operator="between">
      <formula>0</formula>
      <formula>0.255</formula>
    </cfRule>
  </conditionalFormatting>
  <conditionalFormatting sqref="S299">
    <cfRule type="cellIs" dxfId="4635" priority="1598" operator="between">
      <formula>0.76</formula>
      <formula>0.95</formula>
    </cfRule>
    <cfRule type="cellIs" dxfId="4634" priority="1599" operator="between">
      <formula>0.51</formula>
      <formula>0.75</formula>
    </cfRule>
    <cfRule type="cellIs" dxfId="4633" priority="1600" operator="greaterThan">
      <formula>1</formula>
    </cfRule>
    <cfRule type="cellIs" dxfId="4632" priority="1601" operator="between">
      <formula>0.95</formula>
      <formula>1</formula>
    </cfRule>
    <cfRule type="cellIs" dxfId="4631" priority="1602" stopIfTrue="1" operator="between">
      <formula>0</formula>
      <formula>0.5</formula>
    </cfRule>
  </conditionalFormatting>
  <conditionalFormatting sqref="V299">
    <cfRule type="cellIs" dxfId="4630" priority="1593" operator="between">
      <formula>0.376</formula>
      <formula>0.475</formula>
    </cfRule>
    <cfRule type="cellIs" dxfId="4629" priority="1594" operator="between">
      <formula>0.2551</formula>
      <formula>0.3751</formula>
    </cfRule>
    <cfRule type="cellIs" dxfId="4628" priority="1595" operator="greaterThan">
      <formula>0.505</formula>
    </cfRule>
    <cfRule type="cellIs" dxfId="4627" priority="1596" operator="between">
      <formula>0.48</formula>
      <formula>0.5</formula>
    </cfRule>
    <cfRule type="cellIs" dxfId="4626" priority="1597" stopIfTrue="1" operator="between">
      <formula>0</formula>
      <formula>0.255</formula>
    </cfRule>
  </conditionalFormatting>
  <conditionalFormatting sqref="AC299">
    <cfRule type="cellIs" dxfId="4625" priority="1588" operator="between">
      <formula>0.56251</formula>
      <formula>0.7125</formula>
    </cfRule>
    <cfRule type="cellIs" dxfId="4624" priority="1589" operator="between">
      <formula>0.3751</formula>
      <formula>0.5625</formula>
    </cfRule>
    <cfRule type="cellIs" dxfId="4623" priority="1590" operator="greaterThan">
      <formula>0.751</formula>
    </cfRule>
    <cfRule type="cellIs" dxfId="4622" priority="1591" operator="between">
      <formula>0.71251</formula>
      <formula>0.75</formula>
    </cfRule>
    <cfRule type="cellIs" dxfId="4621" priority="1592" stopIfTrue="1" operator="between">
      <formula>0</formula>
      <formula>0.375</formula>
    </cfRule>
  </conditionalFormatting>
  <conditionalFormatting sqref="AG299">
    <cfRule type="cellIs" dxfId="4620" priority="1583" operator="between">
      <formula>0.76</formula>
      <formula>0.95</formula>
    </cfRule>
    <cfRule type="cellIs" dxfId="4619" priority="1584" operator="between">
      <formula>0.51</formula>
      <formula>0.75</formula>
    </cfRule>
    <cfRule type="cellIs" dxfId="4618" priority="1585" operator="greaterThan">
      <formula>1</formula>
    </cfRule>
    <cfRule type="cellIs" dxfId="4617" priority="1586" operator="between">
      <formula>0.95</formula>
      <formula>1</formula>
    </cfRule>
    <cfRule type="cellIs" dxfId="4616" priority="1587" stopIfTrue="1" operator="between">
      <formula>0</formula>
      <formula>0.5</formula>
    </cfRule>
  </conditionalFormatting>
  <conditionalFormatting sqref="Z299">
    <cfRule type="cellIs" dxfId="4615" priority="1578" operator="between">
      <formula>0.76</formula>
      <formula>0.95</formula>
    </cfRule>
    <cfRule type="cellIs" dxfId="4614" priority="1579" operator="between">
      <formula>0.51</formula>
      <formula>0.75</formula>
    </cfRule>
    <cfRule type="cellIs" dxfId="4613" priority="1580" operator="greaterThan">
      <formula>1</formula>
    </cfRule>
    <cfRule type="cellIs" dxfId="4612" priority="1581" operator="between">
      <formula>0.95</formula>
      <formula>1</formula>
    </cfRule>
    <cfRule type="cellIs" dxfId="4611" priority="1582" stopIfTrue="1" operator="between">
      <formula>0</formula>
      <formula>0.5</formula>
    </cfRule>
  </conditionalFormatting>
  <conditionalFormatting sqref="AG132:AG133 AI132:AI133 S132:S133 Z132:Z133 L133">
    <cfRule type="cellIs" dxfId="4610" priority="1573" operator="between">
      <formula>0.76</formula>
      <formula>0.95</formula>
    </cfRule>
    <cfRule type="cellIs" dxfId="4609" priority="1574" operator="between">
      <formula>0.51</formula>
      <formula>0.75</formula>
    </cfRule>
    <cfRule type="cellIs" dxfId="4608" priority="1575" operator="greaterThan">
      <formula>1</formula>
    </cfRule>
    <cfRule type="cellIs" dxfId="4607" priority="1576" operator="between">
      <formula>0.96</formula>
      <formula>1</formula>
    </cfRule>
    <cfRule type="cellIs" dxfId="4606" priority="1577" stopIfTrue="1" operator="between">
      <formula>0</formula>
      <formula>0.5</formula>
    </cfRule>
  </conditionalFormatting>
  <conditionalFormatting sqref="R133">
    <cfRule type="cellIs" dxfId="4605" priority="1563" operator="between">
      <formula>0.76</formula>
      <formula>0.95</formula>
    </cfRule>
    <cfRule type="cellIs" dxfId="4604" priority="1564" operator="between">
      <formula>0.51</formula>
      <formula>0.75</formula>
    </cfRule>
    <cfRule type="cellIs" dxfId="4603" priority="1565" operator="greaterThan">
      <formula>1</formula>
    </cfRule>
    <cfRule type="cellIs" dxfId="4602" priority="1566" operator="between">
      <formula>0.95</formula>
      <formula>1</formula>
    </cfRule>
    <cfRule type="cellIs" dxfId="4601" priority="1567" stopIfTrue="1" operator="between">
      <formula>0</formula>
      <formula>0.5</formula>
    </cfRule>
  </conditionalFormatting>
  <conditionalFormatting sqref="Y133">
    <cfRule type="cellIs" dxfId="4600" priority="1558" operator="between">
      <formula>0.76</formula>
      <formula>0.95</formula>
    </cfRule>
    <cfRule type="cellIs" dxfId="4599" priority="1559" operator="between">
      <formula>0.51</formula>
      <formula>0.75</formula>
    </cfRule>
    <cfRule type="cellIs" dxfId="4598" priority="1560" operator="greaterThan">
      <formula>1</formula>
    </cfRule>
    <cfRule type="cellIs" dxfId="4597" priority="1561" operator="between">
      <formula>0.95</formula>
      <formula>1</formula>
    </cfRule>
    <cfRule type="cellIs" dxfId="4596" priority="1562" stopIfTrue="1" operator="between">
      <formula>0</formula>
      <formula>0.5</formula>
    </cfRule>
  </conditionalFormatting>
  <conditionalFormatting sqref="AF133">
    <cfRule type="cellIs" dxfId="4595" priority="1553" operator="between">
      <formula>0.76</formula>
      <formula>0.95</formula>
    </cfRule>
    <cfRule type="cellIs" dxfId="4594" priority="1554" operator="between">
      <formula>0.51</formula>
      <formula>0.75</formula>
    </cfRule>
    <cfRule type="cellIs" dxfId="4593" priority="1555" operator="greaterThan">
      <formula>1</formula>
    </cfRule>
    <cfRule type="cellIs" dxfId="4592" priority="1556" operator="between">
      <formula>0.95</formula>
      <formula>1</formula>
    </cfRule>
    <cfRule type="cellIs" dxfId="4591" priority="1557" stopIfTrue="1" operator="between">
      <formula>0</formula>
      <formula>0.5</formula>
    </cfRule>
  </conditionalFormatting>
  <conditionalFormatting sqref="AH132:AH133">
    <cfRule type="cellIs" dxfId="4590" priority="1548" operator="between">
      <formula>0.76</formula>
      <formula>0.95</formula>
    </cfRule>
    <cfRule type="cellIs" dxfId="4589" priority="1549" operator="between">
      <formula>0.51</formula>
      <formula>0.75</formula>
    </cfRule>
    <cfRule type="cellIs" dxfId="4588" priority="1550" operator="greaterThan">
      <formula>1</formula>
    </cfRule>
    <cfRule type="cellIs" dxfId="4587" priority="1551" operator="between">
      <formula>0.95</formula>
      <formula>1</formula>
    </cfRule>
    <cfRule type="cellIs" dxfId="4586" priority="1552" stopIfTrue="1" operator="between">
      <formula>0</formula>
      <formula>0.5</formula>
    </cfRule>
  </conditionalFormatting>
  <conditionalFormatting sqref="O133">
    <cfRule type="cellIs" dxfId="4585" priority="1543" operator="between">
      <formula>0.1876</formula>
      <formula>0.2375</formula>
    </cfRule>
    <cfRule type="cellIs" dxfId="4584" priority="1544" operator="between">
      <formula>0.1251</formula>
      <formula>0.1875</formula>
    </cfRule>
    <cfRule type="cellIs" dxfId="4583" priority="1545" operator="greaterThan">
      <formula>0.25</formula>
    </cfRule>
    <cfRule type="cellIs" dxfId="4582" priority="1546" operator="between">
      <formula>0.2375</formula>
      <formula>0.25</formula>
    </cfRule>
    <cfRule type="cellIs" dxfId="4581" priority="1547" stopIfTrue="1" operator="between">
      <formula>0</formula>
      <formula>0.125</formula>
    </cfRule>
  </conditionalFormatting>
  <conditionalFormatting sqref="T132:T133">
    <cfRule type="cellIs" dxfId="4580" priority="1533" operator="between">
      <formula>0.3751</formula>
      <formula>0.475</formula>
    </cfRule>
    <cfRule type="cellIs" dxfId="4579" priority="1534" operator="between">
      <formula>0.2551</formula>
      <formula>0.375</formula>
    </cfRule>
    <cfRule type="cellIs" dxfId="4578" priority="1535" operator="greaterThan">
      <formula>0.505</formula>
    </cfRule>
    <cfRule type="cellIs" dxfId="4577" priority="1536" operator="between">
      <formula>0.48</formula>
      <formula>0.5</formula>
    </cfRule>
    <cfRule type="cellIs" dxfId="4576" priority="1537" stopIfTrue="1" operator="between">
      <formula>0</formula>
      <formula>0.255</formula>
    </cfRule>
  </conditionalFormatting>
  <conditionalFormatting sqref="U132:V133">
    <cfRule type="cellIs" dxfId="4575" priority="1528" operator="between">
      <formula>0.376</formula>
      <formula>0.475</formula>
    </cfRule>
    <cfRule type="cellIs" dxfId="4574" priority="1529" operator="between">
      <formula>0.2551</formula>
      <formula>0.3751</formula>
    </cfRule>
    <cfRule type="cellIs" dxfId="4573" priority="1530" operator="greaterThan">
      <formula>0.505</formula>
    </cfRule>
    <cfRule type="cellIs" dxfId="4572" priority="1531" operator="between">
      <formula>0.48</formula>
      <formula>0.5</formula>
    </cfRule>
    <cfRule type="cellIs" dxfId="4571" priority="1532" stopIfTrue="1" operator="between">
      <formula>0</formula>
      <formula>0.255</formula>
    </cfRule>
  </conditionalFormatting>
  <conditionalFormatting sqref="AB132:AB133">
    <cfRule type="cellIs" dxfId="4570" priority="1513" operator="between">
      <formula>0.56251</formula>
      <formula>0.7125</formula>
    </cfRule>
    <cfRule type="cellIs" dxfId="4569" priority="1514" operator="between">
      <formula>0.3751</formula>
      <formula>0.5625</formula>
    </cfRule>
    <cfRule type="cellIs" dxfId="4568" priority="1515" operator="greaterThan">
      <formula>0.751</formula>
    </cfRule>
    <cfRule type="cellIs" dxfId="4567" priority="1516" operator="between">
      <formula>0.71251</formula>
      <formula>0.75</formula>
    </cfRule>
    <cfRule type="cellIs" dxfId="4566" priority="1517" stopIfTrue="1" operator="between">
      <formula>0</formula>
      <formula>0.375</formula>
    </cfRule>
  </conditionalFormatting>
  <conditionalFormatting sqref="AA132:AA133">
    <cfRule type="cellIs" dxfId="4565" priority="1523" operator="between">
      <formula>0.56251</formula>
      <formula>0.7125</formula>
    </cfRule>
    <cfRule type="cellIs" dxfId="4564" priority="1524" operator="between">
      <formula>0.3751</formula>
      <formula>0.5625</formula>
    </cfRule>
    <cfRule type="cellIs" dxfId="4563" priority="1525" operator="greaterThan">
      <formula>0.751</formula>
    </cfRule>
    <cfRule type="cellIs" dxfId="4562" priority="1526" operator="between">
      <formula>0.71251</formula>
      <formula>0.75</formula>
    </cfRule>
    <cfRule type="cellIs" dxfId="4561" priority="1527" stopIfTrue="1" operator="between">
      <formula>0</formula>
      <formula>0.375</formula>
    </cfRule>
  </conditionalFormatting>
  <conditionalFormatting sqref="AC132:AC133">
    <cfRule type="cellIs" dxfId="4560" priority="1518" operator="between">
      <formula>0.56251</formula>
      <formula>0.7125</formula>
    </cfRule>
    <cfRule type="cellIs" dxfId="4559" priority="1519" operator="between">
      <formula>0.3751</formula>
      <formula>0.5625</formula>
    </cfRule>
    <cfRule type="cellIs" dxfId="4558" priority="1520" operator="greaterThan">
      <formula>0.751</formula>
    </cfRule>
    <cfRule type="cellIs" dxfId="4557" priority="1521" operator="between">
      <formula>0.71251</formula>
      <formula>0.75</formula>
    </cfRule>
    <cfRule type="cellIs" dxfId="4556" priority="1522" stopIfTrue="1" operator="between">
      <formula>0</formula>
      <formula>0.375</formula>
    </cfRule>
  </conditionalFormatting>
  <conditionalFormatting sqref="K133">
    <cfRule type="cellIs" dxfId="4555" priority="1496" operator="between">
      <formula>0.76</formula>
      <formula>0.95</formula>
    </cfRule>
    <cfRule type="cellIs" dxfId="4554" priority="1497" operator="between">
      <formula>0.51</formula>
      <formula>0.75</formula>
    </cfRule>
    <cfRule type="cellIs" dxfId="4553" priority="1498" operator="greaterThan">
      <formula>1</formula>
    </cfRule>
    <cfRule type="cellIs" dxfId="4552" priority="1499" operator="between">
      <formula>0.95</formula>
      <formula>1</formula>
    </cfRule>
    <cfRule type="cellIs" dxfId="4551" priority="1500" stopIfTrue="1" operator="between">
      <formula>0</formula>
      <formula>0.5</formula>
    </cfRule>
  </conditionalFormatting>
  <conditionalFormatting sqref="M133">
    <cfRule type="cellIs" dxfId="4550" priority="1491" operator="between">
      <formula>0.76</formula>
      <formula>0.95</formula>
    </cfRule>
    <cfRule type="cellIs" dxfId="4549" priority="1492" operator="between">
      <formula>0.51</formula>
      <formula>0.75</formula>
    </cfRule>
    <cfRule type="cellIs" dxfId="4548" priority="1493" operator="greaterThan">
      <formula>1</formula>
    </cfRule>
    <cfRule type="cellIs" dxfId="4547" priority="1494" operator="between">
      <formula>0.96</formula>
      <formula>1</formula>
    </cfRule>
    <cfRule type="cellIs" dxfId="4546" priority="1495" stopIfTrue="1" operator="between">
      <formula>0</formula>
      <formula>0.5</formula>
    </cfRule>
  </conditionalFormatting>
  <conditionalFormatting sqref="N133">
    <cfRule type="cellIs" dxfId="4545" priority="1486" operator="between">
      <formula>0.76</formula>
      <formula>0.95</formula>
    </cfRule>
    <cfRule type="cellIs" dxfId="4544" priority="1487" operator="between">
      <formula>0.51</formula>
      <formula>0.75</formula>
    </cfRule>
    <cfRule type="cellIs" dxfId="4543" priority="1488" operator="greaterThan">
      <formula>1</formula>
    </cfRule>
    <cfRule type="cellIs" dxfId="4542" priority="1489" operator="between">
      <formula>0.96</formula>
      <formula>1</formula>
    </cfRule>
    <cfRule type="cellIs" dxfId="4541" priority="1490" stopIfTrue="1" operator="between">
      <formula>0</formula>
      <formula>0.5</formula>
    </cfRule>
  </conditionalFormatting>
  <conditionalFormatting sqref="M134:N135">
    <cfRule type="cellIs" dxfId="4540" priority="1481" operator="between">
      <formula>0.76</formula>
      <formula>0.95</formula>
    </cfRule>
    <cfRule type="cellIs" dxfId="4539" priority="1482" operator="between">
      <formula>0.51</formula>
      <formula>0.75</formula>
    </cfRule>
    <cfRule type="cellIs" dxfId="4538" priority="1483" operator="greaterThan">
      <formula>1</formula>
    </cfRule>
    <cfRule type="cellIs" dxfId="4537" priority="1484" operator="between">
      <formula>0.96</formula>
      <formula>1</formula>
    </cfRule>
    <cfRule type="cellIs" dxfId="4536" priority="1485" stopIfTrue="1" operator="between">
      <formula>0</formula>
      <formula>0.5</formula>
    </cfRule>
  </conditionalFormatting>
  <conditionalFormatting sqref="K134:K135">
    <cfRule type="cellIs" dxfId="4535" priority="1476" operator="between">
      <formula>0.76</formula>
      <formula>0.95</formula>
    </cfRule>
    <cfRule type="cellIs" dxfId="4534" priority="1477" operator="between">
      <formula>0.51</formula>
      <formula>0.75</formula>
    </cfRule>
    <cfRule type="cellIs" dxfId="4533" priority="1478" operator="greaterThan">
      <formula>1</formula>
    </cfRule>
    <cfRule type="cellIs" dxfId="4532" priority="1479" operator="between">
      <formula>0.95</formula>
      <formula>1</formula>
    </cfRule>
    <cfRule type="cellIs" dxfId="4531" priority="1480" stopIfTrue="1" operator="between">
      <formula>0</formula>
      <formula>0.5</formula>
    </cfRule>
  </conditionalFormatting>
  <conditionalFormatting sqref="R132">
    <cfRule type="cellIs" dxfId="4530" priority="1471" operator="between">
      <formula>0.76</formula>
      <formula>0.95</formula>
    </cfRule>
    <cfRule type="cellIs" dxfId="4529" priority="1472" operator="between">
      <formula>0.51</formula>
      <formula>0.75</formula>
    </cfRule>
    <cfRule type="cellIs" dxfId="4528" priority="1473" operator="greaterThan">
      <formula>1</formula>
    </cfRule>
    <cfRule type="cellIs" dxfId="4527" priority="1474" operator="between">
      <formula>0.95</formula>
      <formula>1</formula>
    </cfRule>
    <cfRule type="cellIs" dxfId="4526" priority="1475" stopIfTrue="1" operator="between">
      <formula>0</formula>
      <formula>0.5</formula>
    </cfRule>
  </conditionalFormatting>
  <conditionalFormatting sqref="Y132">
    <cfRule type="cellIs" dxfId="4525" priority="1466" operator="between">
      <formula>0.76</formula>
      <formula>0.95</formula>
    </cfRule>
    <cfRule type="cellIs" dxfId="4524" priority="1467" operator="between">
      <formula>0.51</formula>
      <formula>0.75</formula>
    </cfRule>
    <cfRule type="cellIs" dxfId="4523" priority="1468" operator="greaterThan">
      <formula>1</formula>
    </cfRule>
    <cfRule type="cellIs" dxfId="4522" priority="1469" operator="between">
      <formula>0.95</formula>
      <formula>1</formula>
    </cfRule>
    <cfRule type="cellIs" dxfId="4521" priority="1470" stopIfTrue="1" operator="between">
      <formula>0</formula>
      <formula>0.5</formula>
    </cfRule>
  </conditionalFormatting>
  <conditionalFormatting sqref="AF132">
    <cfRule type="cellIs" dxfId="4520" priority="1461" operator="between">
      <formula>0.76</formula>
      <formula>0.95</formula>
    </cfRule>
    <cfRule type="cellIs" dxfId="4519" priority="1462" operator="between">
      <formula>0.51</formula>
      <formula>0.75</formula>
    </cfRule>
    <cfRule type="cellIs" dxfId="4518" priority="1463" operator="greaterThan">
      <formula>1</formula>
    </cfRule>
    <cfRule type="cellIs" dxfId="4517" priority="1464" operator="between">
      <formula>0.95</formula>
      <formula>1</formula>
    </cfRule>
    <cfRule type="cellIs" dxfId="4516" priority="1465" stopIfTrue="1" operator="between">
      <formula>0</formula>
      <formula>0.5</formula>
    </cfRule>
  </conditionalFormatting>
  <conditionalFormatting sqref="N55">
    <cfRule type="cellIs" dxfId="4515" priority="1396" operator="between">
      <formula>0.1876</formula>
      <formula>0.2375</formula>
    </cfRule>
    <cfRule type="cellIs" dxfId="4514" priority="1397" operator="between">
      <formula>0.1251</formula>
      <formula>0.1875</formula>
    </cfRule>
    <cfRule type="cellIs" dxfId="4513" priority="1398" operator="greaterThan">
      <formula>0.25</formula>
    </cfRule>
    <cfRule type="cellIs" dxfId="4512" priority="1399" operator="between">
      <formula>0.2376</formula>
      <formula>0.25</formula>
    </cfRule>
    <cfRule type="cellIs" dxfId="4511" priority="1400" stopIfTrue="1" operator="between">
      <formula>0</formula>
      <formula>0.125</formula>
    </cfRule>
  </conditionalFormatting>
  <conditionalFormatting sqref="O55">
    <cfRule type="cellIs" dxfId="4510" priority="1391" operator="between">
      <formula>0.1876</formula>
      <formula>0.2375</formula>
    </cfRule>
    <cfRule type="cellIs" dxfId="4509" priority="1392" operator="between">
      <formula>0.1251</formula>
      <formula>0.1875</formula>
    </cfRule>
    <cfRule type="cellIs" dxfId="4508" priority="1393" operator="greaterThan">
      <formula>0.25</formula>
    </cfRule>
    <cfRule type="cellIs" dxfId="4507" priority="1394" operator="between">
      <formula>0.2376</formula>
      <formula>0.25</formula>
    </cfRule>
    <cfRule type="cellIs" dxfId="4506" priority="1395" stopIfTrue="1" operator="between">
      <formula>0</formula>
      <formula>0.125</formula>
    </cfRule>
  </conditionalFormatting>
  <conditionalFormatting sqref="M55">
    <cfRule type="cellIs" dxfId="4505" priority="1386" operator="between">
      <formula>0.1876</formula>
      <formula>0.2375</formula>
    </cfRule>
    <cfRule type="cellIs" dxfId="4504" priority="1387" operator="between">
      <formula>0.1251</formula>
      <formula>0.1875</formula>
    </cfRule>
    <cfRule type="cellIs" dxfId="4503" priority="1388" operator="greaterThan">
      <formula>0.25</formula>
    </cfRule>
    <cfRule type="cellIs" dxfId="4502" priority="1389" operator="between">
      <formula>0.2375</formula>
      <formula>0.25</formula>
    </cfRule>
    <cfRule type="cellIs" dxfId="4501" priority="1390" stopIfTrue="1" operator="between">
      <formula>0</formula>
      <formula>0.125</formula>
    </cfRule>
  </conditionalFormatting>
  <conditionalFormatting sqref="K55">
    <cfRule type="cellIs" dxfId="4500" priority="1381" operator="between">
      <formula>0.76</formula>
      <formula>0.95</formula>
    </cfRule>
    <cfRule type="cellIs" dxfId="4499" priority="1382" operator="between">
      <formula>0.51</formula>
      <formula>0.75</formula>
    </cfRule>
    <cfRule type="cellIs" dxfId="4498" priority="1383" operator="greaterThan">
      <formula>1</formula>
    </cfRule>
    <cfRule type="cellIs" dxfId="4497" priority="1384" operator="between">
      <formula>0.96</formula>
      <formula>1</formula>
    </cfRule>
    <cfRule type="cellIs" dxfId="4496" priority="1385" stopIfTrue="1" operator="between">
      <formula>0</formula>
      <formula>0.5</formula>
    </cfRule>
  </conditionalFormatting>
  <conditionalFormatting sqref="L55">
    <cfRule type="cellIs" dxfId="4495" priority="1376" operator="between">
      <formula>0.76</formula>
      <formula>0.95</formula>
    </cfRule>
    <cfRule type="cellIs" dxfId="4494" priority="1377" operator="between">
      <formula>0.51</formula>
      <formula>0.75</formula>
    </cfRule>
    <cfRule type="cellIs" dxfId="4493" priority="1378" operator="greaterThan">
      <formula>1</formula>
    </cfRule>
    <cfRule type="cellIs" dxfId="4492" priority="1379" operator="between">
      <formula>0.96</formula>
      <formula>1</formula>
    </cfRule>
    <cfRule type="cellIs" dxfId="4491" priority="1380" stopIfTrue="1" operator="between">
      <formula>0</formula>
      <formula>0.5</formula>
    </cfRule>
  </conditionalFormatting>
  <conditionalFormatting sqref="L227">
    <cfRule type="cellIs" dxfId="4490" priority="1356" operator="between">
      <formula>0.76</formula>
      <formula>0.95</formula>
    </cfRule>
    <cfRule type="cellIs" dxfId="4489" priority="1357" operator="between">
      <formula>0.51</formula>
      <formula>0.75</formula>
    </cfRule>
    <cfRule type="cellIs" dxfId="4488" priority="1358" operator="greaterThan">
      <formula>1</formula>
    </cfRule>
    <cfRule type="cellIs" dxfId="4487" priority="1359" operator="between">
      <formula>0.96</formula>
      <formula>1</formula>
    </cfRule>
    <cfRule type="cellIs" dxfId="4486" priority="1360" stopIfTrue="1" operator="between">
      <formula>0</formula>
      <formula>0.5</formula>
    </cfRule>
  </conditionalFormatting>
  <conditionalFormatting sqref="O227">
    <cfRule type="cellIs" dxfId="4485" priority="1351" operator="between">
      <formula>0.1876</formula>
      <formula>0.2375</formula>
    </cfRule>
    <cfRule type="cellIs" dxfId="4484" priority="1352" operator="between">
      <formula>0.1251</formula>
      <formula>0.1875</formula>
    </cfRule>
    <cfRule type="cellIs" dxfId="4483" priority="1353" operator="greaterThan">
      <formula>0.25</formula>
    </cfRule>
    <cfRule type="cellIs" dxfId="4482" priority="1354" operator="between">
      <formula>0.2375</formula>
      <formula>0.25</formula>
    </cfRule>
    <cfRule type="cellIs" dxfId="4481" priority="1355" stopIfTrue="1" operator="between">
      <formula>0</formula>
      <formula>0.125</formula>
    </cfRule>
  </conditionalFormatting>
  <conditionalFormatting sqref="M227:N227">
    <cfRule type="cellIs" dxfId="4480" priority="1346" operator="between">
      <formula>0.1876</formula>
      <formula>0.2375</formula>
    </cfRule>
    <cfRule type="cellIs" dxfId="4479" priority="1347" operator="between">
      <formula>0.1251</formula>
      <formula>0.1875</formula>
    </cfRule>
    <cfRule type="cellIs" dxfId="4478" priority="1348" operator="greaterThan">
      <formula>0.25</formula>
    </cfRule>
    <cfRule type="cellIs" dxfId="4477" priority="1349" operator="between">
      <formula>0.2376</formula>
      <formula>0.25</formula>
    </cfRule>
    <cfRule type="cellIs" dxfId="4476" priority="1350" stopIfTrue="1" operator="between">
      <formula>0</formula>
      <formula>0.125</formula>
    </cfRule>
  </conditionalFormatting>
  <conditionalFormatting sqref="AF227:AG227 Y227:Z227 R227:S227">
    <cfRule type="cellIs" dxfId="4475" priority="1341" operator="between">
      <formula>0.76</formula>
      <formula>0.95</formula>
    </cfRule>
    <cfRule type="cellIs" dxfId="4474" priority="1342" operator="between">
      <formula>0.51</formula>
      <formula>0.75</formula>
    </cfRule>
    <cfRule type="cellIs" dxfId="4473" priority="1343" operator="greaterThan">
      <formula>1</formula>
    </cfRule>
    <cfRule type="cellIs" dxfId="4472" priority="1344" operator="between">
      <formula>0.95</formula>
      <formula>1</formula>
    </cfRule>
    <cfRule type="cellIs" dxfId="4471" priority="1345" stopIfTrue="1" operator="between">
      <formula>0</formula>
      <formula>0.5</formula>
    </cfRule>
  </conditionalFormatting>
  <conditionalFormatting sqref="AG227">
    <cfRule type="cellIs" dxfId="4470" priority="1321" operator="between">
      <formula>0.76</formula>
      <formula>0.95</formula>
    </cfRule>
    <cfRule type="cellIs" dxfId="4469" priority="1322" operator="between">
      <formula>0.51</formula>
      <formula>0.75</formula>
    </cfRule>
    <cfRule type="cellIs" dxfId="4468" priority="1323" operator="greaterThan">
      <formula>1</formula>
    </cfRule>
    <cfRule type="cellIs" dxfId="4467" priority="1324" operator="between">
      <formula>0.95</formula>
      <formula>1</formula>
    </cfRule>
    <cfRule type="cellIs" dxfId="4466" priority="1325" stopIfTrue="1" operator="between">
      <formula>0</formula>
      <formula>0.5</formula>
    </cfRule>
  </conditionalFormatting>
  <conditionalFormatting sqref="K227:K228">
    <cfRule type="cellIs" dxfId="4465" priority="1304" operator="between">
      <formula>0.76</formula>
      <formula>0.95</formula>
    </cfRule>
    <cfRule type="cellIs" dxfId="4464" priority="1305" operator="between">
      <formula>0.51</formula>
      <formula>0.75</formula>
    </cfRule>
    <cfRule type="cellIs" dxfId="4463" priority="1306" operator="greaterThan">
      <formula>1</formula>
    </cfRule>
    <cfRule type="cellIs" dxfId="4462" priority="1307" operator="between">
      <formula>0.96</formula>
      <formula>1</formula>
    </cfRule>
    <cfRule type="cellIs" dxfId="4461" priority="1308" stopIfTrue="1" operator="between">
      <formula>0</formula>
      <formula>0.5</formula>
    </cfRule>
  </conditionalFormatting>
  <conditionalFormatting sqref="R55">
    <cfRule type="cellIs" dxfId="4460" priority="1299" operator="between">
      <formula>0.76</formula>
      <formula>0.95</formula>
    </cfRule>
    <cfRule type="cellIs" dxfId="4459" priority="1300" operator="between">
      <formula>0.51</formula>
      <formula>0.75</formula>
    </cfRule>
    <cfRule type="cellIs" dxfId="4458" priority="1301" operator="greaterThan">
      <formula>1</formula>
    </cfRule>
    <cfRule type="cellIs" dxfId="4457" priority="1302" operator="between">
      <formula>0.95</formula>
      <formula>1</formula>
    </cfRule>
    <cfRule type="cellIs" dxfId="4456" priority="1303" stopIfTrue="1" operator="between">
      <formula>0</formula>
      <formula>0.5</formula>
    </cfRule>
  </conditionalFormatting>
  <conditionalFormatting sqref="T55">
    <cfRule type="cellIs" dxfId="4455" priority="1294" operator="between">
      <formula>0.3751</formula>
      <formula>0.475</formula>
    </cfRule>
    <cfRule type="cellIs" dxfId="4454" priority="1295" operator="between">
      <formula>0.2551</formula>
      <formula>0.375</formula>
    </cfRule>
    <cfRule type="cellIs" dxfId="4453" priority="1296" operator="greaterThan">
      <formula>0.505</formula>
    </cfRule>
    <cfRule type="cellIs" dxfId="4452" priority="1297" operator="between">
      <formula>0.48</formula>
      <formula>0.5</formula>
    </cfRule>
    <cfRule type="cellIs" dxfId="4451" priority="1298" stopIfTrue="1" operator="between">
      <formula>0</formula>
      <formula>0.255</formula>
    </cfRule>
  </conditionalFormatting>
  <conditionalFormatting sqref="U55">
    <cfRule type="cellIs" dxfId="4450" priority="1289" operator="between">
      <formula>0.376</formula>
      <formula>0.475</formula>
    </cfRule>
    <cfRule type="cellIs" dxfId="4449" priority="1290" operator="between">
      <formula>0.2551</formula>
      <formula>0.3751</formula>
    </cfRule>
    <cfRule type="cellIs" dxfId="4448" priority="1291" operator="greaterThan">
      <formula>0.505</formula>
    </cfRule>
    <cfRule type="cellIs" dxfId="4447" priority="1292" operator="between">
      <formula>0.48</formula>
      <formula>0.5</formula>
    </cfRule>
    <cfRule type="cellIs" dxfId="4446" priority="1293" stopIfTrue="1" operator="between">
      <formula>0</formula>
      <formula>0.255</formula>
    </cfRule>
  </conditionalFormatting>
  <conditionalFormatting sqref="S55">
    <cfRule type="cellIs" dxfId="4445" priority="1284" operator="between">
      <formula>0.76</formula>
      <formula>0.95</formula>
    </cfRule>
    <cfRule type="cellIs" dxfId="4444" priority="1285" operator="between">
      <formula>0.51</formula>
      <formula>0.75</formula>
    </cfRule>
    <cfRule type="cellIs" dxfId="4443" priority="1286" operator="greaterThan">
      <formula>1</formula>
    </cfRule>
    <cfRule type="cellIs" dxfId="4442" priority="1287" operator="between">
      <formula>0.95</formula>
      <formula>1</formula>
    </cfRule>
    <cfRule type="cellIs" dxfId="4441" priority="1288" stopIfTrue="1" operator="between">
      <formula>0</formula>
      <formula>0.5</formula>
    </cfRule>
  </conditionalFormatting>
  <conditionalFormatting sqref="V55">
    <cfRule type="cellIs" dxfId="4440" priority="1279" operator="between">
      <formula>0.376</formula>
      <formula>0.475</formula>
    </cfRule>
    <cfRule type="cellIs" dxfId="4439" priority="1280" operator="between">
      <formula>0.2551</formula>
      <formula>0.3751</formula>
    </cfRule>
    <cfRule type="cellIs" dxfId="4438" priority="1281" operator="greaterThan">
      <formula>0.505</formula>
    </cfRule>
    <cfRule type="cellIs" dxfId="4437" priority="1282" operator="between">
      <formula>0.48</formula>
      <formula>0.5</formula>
    </cfRule>
    <cfRule type="cellIs" dxfId="4436" priority="1283" stopIfTrue="1" operator="between">
      <formula>0</formula>
      <formula>0.255</formula>
    </cfRule>
  </conditionalFormatting>
  <conditionalFormatting sqref="Y55:Z55 AF55:AI55">
    <cfRule type="cellIs" dxfId="4435" priority="1274" operator="between">
      <formula>0.76</formula>
      <formula>0.95</formula>
    </cfRule>
    <cfRule type="cellIs" dxfId="4434" priority="1275" operator="between">
      <formula>0.51</formula>
      <formula>0.75</formula>
    </cfRule>
    <cfRule type="cellIs" dxfId="4433" priority="1276" operator="greaterThan">
      <formula>1</formula>
    </cfRule>
    <cfRule type="cellIs" dxfId="4432" priority="1277" operator="between">
      <formula>0.95</formula>
      <formula>1</formula>
    </cfRule>
    <cfRule type="cellIs" dxfId="4431" priority="1278" stopIfTrue="1" operator="between">
      <formula>0</formula>
      <formula>0.5</formula>
    </cfRule>
  </conditionalFormatting>
  <conditionalFormatting sqref="AA55:AC55">
    <cfRule type="cellIs" dxfId="4430" priority="1269" operator="between">
      <formula>0.56251</formula>
      <formula>0.7125</formula>
    </cfRule>
    <cfRule type="cellIs" dxfId="4429" priority="1270" operator="between">
      <formula>0.3751</formula>
      <formula>0.5625</formula>
    </cfRule>
    <cfRule type="cellIs" dxfId="4428" priority="1271" operator="greaterThan">
      <formula>0.751</formula>
    </cfRule>
    <cfRule type="cellIs" dxfId="4427" priority="1272" operator="between">
      <formula>0.71251</formula>
      <formula>0.75</formula>
    </cfRule>
    <cfRule type="cellIs" dxfId="4426" priority="1273" stopIfTrue="1" operator="between">
      <formula>0</formula>
      <formula>0.375</formula>
    </cfRule>
  </conditionalFormatting>
  <conditionalFormatting sqref="T29">
    <cfRule type="cellIs" dxfId="4425" priority="1251" operator="between">
      <formula>0.3751</formula>
      <formula>0.475</formula>
    </cfRule>
    <cfRule type="cellIs" dxfId="4424" priority="1252" operator="between">
      <formula>0.2551</formula>
      <formula>0.375</formula>
    </cfRule>
    <cfRule type="cellIs" dxfId="4423" priority="1253" operator="greaterThan">
      <formula>0.505</formula>
    </cfRule>
    <cfRule type="cellIs" dxfId="4422" priority="1254" operator="between">
      <formula>0.48</formula>
      <formula>0.5</formula>
    </cfRule>
    <cfRule type="cellIs" dxfId="4421" priority="1255" stopIfTrue="1" operator="between">
      <formula>0</formula>
      <formula>0.255</formula>
    </cfRule>
  </conditionalFormatting>
  <conditionalFormatting sqref="U29">
    <cfRule type="cellIs" dxfId="4420" priority="1246" operator="between">
      <formula>0.376</formula>
      <formula>0.475</formula>
    </cfRule>
    <cfRule type="cellIs" dxfId="4419" priority="1247" operator="between">
      <formula>0.2551</formula>
      <formula>0.3751</formula>
    </cfRule>
    <cfRule type="cellIs" dxfId="4418" priority="1248" operator="greaterThan">
      <formula>0.505</formula>
    </cfRule>
    <cfRule type="cellIs" dxfId="4417" priority="1249" operator="between">
      <formula>0.48</formula>
      <formula>0.5</formula>
    </cfRule>
    <cfRule type="cellIs" dxfId="4416" priority="1250" stopIfTrue="1" operator="between">
      <formula>0</formula>
      <formula>0.255</formula>
    </cfRule>
  </conditionalFormatting>
  <conditionalFormatting sqref="V29">
    <cfRule type="cellIs" dxfId="4415" priority="1241" operator="between">
      <formula>0.376</formula>
      <formula>0.475</formula>
    </cfRule>
    <cfRule type="cellIs" dxfId="4414" priority="1242" operator="between">
      <formula>0.2551</formula>
      <formula>0.3751</formula>
    </cfRule>
    <cfRule type="cellIs" dxfId="4413" priority="1243" operator="greaterThan">
      <formula>0.505</formula>
    </cfRule>
    <cfRule type="cellIs" dxfId="4412" priority="1244" operator="between">
      <formula>0.48</formula>
      <formula>0.5</formula>
    </cfRule>
    <cfRule type="cellIs" dxfId="4411" priority="1245" stopIfTrue="1" operator="between">
      <formula>0</formula>
      <formula>0.255</formula>
    </cfRule>
  </conditionalFormatting>
  <conditionalFormatting sqref="AA29:AB29">
    <cfRule type="cellIs" dxfId="4410" priority="1236" operator="between">
      <formula>0.56251</formula>
      <formula>0.7125</formula>
    </cfRule>
    <cfRule type="cellIs" dxfId="4409" priority="1237" operator="between">
      <formula>0.3751</formula>
      <formula>0.5625</formula>
    </cfRule>
    <cfRule type="cellIs" dxfId="4408" priority="1238" operator="greaterThan">
      <formula>0.751</formula>
    </cfRule>
    <cfRule type="cellIs" dxfId="4407" priority="1239" operator="between">
      <formula>0.71251</formula>
      <formula>0.75</formula>
    </cfRule>
    <cfRule type="cellIs" dxfId="4406" priority="1240" stopIfTrue="1" operator="between">
      <formula>0</formula>
      <formula>0.375</formula>
    </cfRule>
  </conditionalFormatting>
  <conditionalFormatting sqref="AC29">
    <cfRule type="cellIs" dxfId="4405" priority="1231" operator="between">
      <formula>0.56251</formula>
      <formula>0.7125</formula>
    </cfRule>
    <cfRule type="cellIs" dxfId="4404" priority="1232" operator="between">
      <formula>0.3751</formula>
      <formula>0.5625</formula>
    </cfRule>
    <cfRule type="cellIs" dxfId="4403" priority="1233" operator="greaterThan">
      <formula>0.751</formula>
    </cfRule>
    <cfRule type="cellIs" dxfId="4402" priority="1234" operator="between">
      <formula>0.71251</formula>
      <formula>0.75</formula>
    </cfRule>
    <cfRule type="cellIs" dxfId="4401" priority="1235" stopIfTrue="1" operator="between">
      <formula>0</formula>
      <formula>0.375</formula>
    </cfRule>
  </conditionalFormatting>
  <conditionalFormatting sqref="AH29:AI29">
    <cfRule type="cellIs" dxfId="4400" priority="1226" operator="between">
      <formula>0.76</formula>
      <formula>0.95</formula>
    </cfRule>
    <cfRule type="cellIs" dxfId="4399" priority="1227" operator="between">
      <formula>0.51</formula>
      <formula>0.75</formula>
    </cfRule>
    <cfRule type="cellIs" dxfId="4398" priority="1228" operator="greaterThan">
      <formula>1</formula>
    </cfRule>
    <cfRule type="cellIs" dxfId="4397" priority="1229" operator="between">
      <formula>0.95</formula>
      <formula>1</formula>
    </cfRule>
    <cfRule type="cellIs" dxfId="4396" priority="1230" stopIfTrue="1" operator="between">
      <formula>0</formula>
      <formula>0.5</formula>
    </cfRule>
  </conditionalFormatting>
  <conditionalFormatting sqref="T53">
    <cfRule type="cellIs" dxfId="4395" priority="1221" operator="between">
      <formula>0.3751</formula>
      <formula>0.475</formula>
    </cfRule>
    <cfRule type="cellIs" dxfId="4394" priority="1222" operator="between">
      <formula>0.2551</formula>
      <formula>0.375</formula>
    </cfRule>
    <cfRule type="cellIs" dxfId="4393" priority="1223" operator="greaterThan">
      <formula>0.505</formula>
    </cfRule>
    <cfRule type="cellIs" dxfId="4392" priority="1224" operator="between">
      <formula>0.48</formula>
      <formula>0.5</formula>
    </cfRule>
    <cfRule type="cellIs" dxfId="4391" priority="1225" stopIfTrue="1" operator="between">
      <formula>0</formula>
      <formula>0.255</formula>
    </cfRule>
  </conditionalFormatting>
  <conditionalFormatting sqref="U53">
    <cfRule type="cellIs" dxfId="4390" priority="1216" operator="between">
      <formula>0.376</formula>
      <formula>0.475</formula>
    </cfRule>
    <cfRule type="cellIs" dxfId="4389" priority="1217" operator="between">
      <formula>0.2551</formula>
      <formula>0.3751</formula>
    </cfRule>
    <cfRule type="cellIs" dxfId="4388" priority="1218" operator="greaterThan">
      <formula>0.505</formula>
    </cfRule>
    <cfRule type="cellIs" dxfId="4387" priority="1219" operator="between">
      <formula>0.48</formula>
      <formula>0.5</formula>
    </cfRule>
    <cfRule type="cellIs" dxfId="4386" priority="1220" stopIfTrue="1" operator="between">
      <formula>0</formula>
      <formula>0.255</formula>
    </cfRule>
  </conditionalFormatting>
  <conditionalFormatting sqref="V53">
    <cfRule type="cellIs" dxfId="4385" priority="1211" operator="between">
      <formula>0.376</formula>
      <formula>0.475</formula>
    </cfRule>
    <cfRule type="cellIs" dxfId="4384" priority="1212" operator="between">
      <formula>0.2551</formula>
      <formula>0.3751</formula>
    </cfRule>
    <cfRule type="cellIs" dxfId="4383" priority="1213" operator="greaterThan">
      <formula>0.505</formula>
    </cfRule>
    <cfRule type="cellIs" dxfId="4382" priority="1214" operator="between">
      <formula>0.48</formula>
      <formula>0.5</formula>
    </cfRule>
    <cfRule type="cellIs" dxfId="4381" priority="1215" stopIfTrue="1" operator="between">
      <formula>0</formula>
      <formula>0.255</formula>
    </cfRule>
  </conditionalFormatting>
  <conditionalFormatting sqref="AA53:AC53">
    <cfRule type="cellIs" dxfId="4380" priority="1206" operator="between">
      <formula>0.56251</formula>
      <formula>0.7125</formula>
    </cfRule>
    <cfRule type="cellIs" dxfId="4379" priority="1207" operator="between">
      <formula>0.3751</formula>
      <formula>0.5625</formula>
    </cfRule>
    <cfRule type="cellIs" dxfId="4378" priority="1208" operator="greaterThan">
      <formula>0.751</formula>
    </cfRule>
    <cfRule type="cellIs" dxfId="4377" priority="1209" operator="between">
      <formula>0.71251</formula>
      <formula>0.75</formula>
    </cfRule>
    <cfRule type="cellIs" dxfId="4376" priority="1210" stopIfTrue="1" operator="between">
      <formula>0</formula>
      <formula>0.375</formula>
    </cfRule>
  </conditionalFormatting>
  <conditionalFormatting sqref="AH53:AI53">
    <cfRule type="cellIs" dxfId="4375" priority="1201" operator="between">
      <formula>0.76</formula>
      <formula>0.95</formula>
    </cfRule>
    <cfRule type="cellIs" dxfId="4374" priority="1202" operator="between">
      <formula>0.51</formula>
      <formula>0.75</formula>
    </cfRule>
    <cfRule type="cellIs" dxfId="4373" priority="1203" operator="greaterThan">
      <formula>1</formula>
    </cfRule>
    <cfRule type="cellIs" dxfId="4372" priority="1204" operator="between">
      <formula>0.95</formula>
      <formula>1</formula>
    </cfRule>
    <cfRule type="cellIs" dxfId="4371" priority="1205" stopIfTrue="1" operator="between">
      <formula>0</formula>
      <formula>0.5</formula>
    </cfRule>
  </conditionalFormatting>
  <conditionalFormatting sqref="T152">
    <cfRule type="cellIs" dxfId="4370" priority="1186" operator="between">
      <formula>0.3751</formula>
      <formula>0.475</formula>
    </cfRule>
    <cfRule type="cellIs" dxfId="4369" priority="1187" operator="between">
      <formula>0.2551</formula>
      <formula>0.375</formula>
    </cfRule>
    <cfRule type="cellIs" dxfId="4368" priority="1188" operator="greaterThan">
      <formula>0.505</formula>
    </cfRule>
    <cfRule type="cellIs" dxfId="4367" priority="1189" operator="between">
      <formula>0.48</formula>
      <formula>0.5</formula>
    </cfRule>
    <cfRule type="cellIs" dxfId="4366" priority="1190" stopIfTrue="1" operator="between">
      <formula>0</formula>
      <formula>0.255</formula>
    </cfRule>
  </conditionalFormatting>
  <conditionalFormatting sqref="U152">
    <cfRule type="cellIs" dxfId="4365" priority="1181" operator="between">
      <formula>0.376</formula>
      <formula>0.475</formula>
    </cfRule>
    <cfRule type="cellIs" dxfId="4364" priority="1182" operator="between">
      <formula>0.2551</formula>
      <formula>0.3751</formula>
    </cfRule>
    <cfRule type="cellIs" dxfId="4363" priority="1183" operator="greaterThan">
      <formula>0.505</formula>
    </cfRule>
    <cfRule type="cellIs" dxfId="4362" priority="1184" operator="between">
      <formula>0.48</formula>
      <formula>0.5</formula>
    </cfRule>
    <cfRule type="cellIs" dxfId="4361" priority="1185" stopIfTrue="1" operator="between">
      <formula>0</formula>
      <formula>0.255</formula>
    </cfRule>
  </conditionalFormatting>
  <conditionalFormatting sqref="V152">
    <cfRule type="cellIs" dxfId="4360" priority="1176" operator="between">
      <formula>0.376</formula>
      <formula>0.475</formula>
    </cfRule>
    <cfRule type="cellIs" dxfId="4359" priority="1177" operator="between">
      <formula>0.2551</formula>
      <formula>0.3751</formula>
    </cfRule>
    <cfRule type="cellIs" dxfId="4358" priority="1178" operator="greaterThan">
      <formula>0.505</formula>
    </cfRule>
    <cfRule type="cellIs" dxfId="4357" priority="1179" operator="between">
      <formula>0.48</formula>
      <formula>0.5</formula>
    </cfRule>
    <cfRule type="cellIs" dxfId="4356" priority="1180" stopIfTrue="1" operator="between">
      <formula>0</formula>
      <formula>0.255</formula>
    </cfRule>
  </conditionalFormatting>
  <conditionalFormatting sqref="AA152:AB152">
    <cfRule type="cellIs" dxfId="4355" priority="1171" operator="between">
      <formula>0.56251</formula>
      <formula>0.7125</formula>
    </cfRule>
    <cfRule type="cellIs" dxfId="4354" priority="1172" operator="between">
      <formula>0.3751</formula>
      <formula>0.5625</formula>
    </cfRule>
    <cfRule type="cellIs" dxfId="4353" priority="1173" operator="greaterThan">
      <formula>0.751</formula>
    </cfRule>
    <cfRule type="cellIs" dxfId="4352" priority="1174" operator="between">
      <formula>0.71251</formula>
      <formula>0.75</formula>
    </cfRule>
    <cfRule type="cellIs" dxfId="4351" priority="1175" stopIfTrue="1" operator="between">
      <formula>0</formula>
      <formula>0.375</formula>
    </cfRule>
  </conditionalFormatting>
  <conditionalFormatting sqref="AC152">
    <cfRule type="cellIs" dxfId="4350" priority="1166" operator="between">
      <formula>0.56251</formula>
      <formula>0.7125</formula>
    </cfRule>
    <cfRule type="cellIs" dxfId="4349" priority="1167" operator="between">
      <formula>0.3751</formula>
      <formula>0.5625</formula>
    </cfRule>
    <cfRule type="cellIs" dxfId="4348" priority="1168" operator="greaterThan">
      <formula>0.751</formula>
    </cfRule>
    <cfRule type="cellIs" dxfId="4347" priority="1169" operator="between">
      <formula>0.71251</formula>
      <formula>0.75</formula>
    </cfRule>
    <cfRule type="cellIs" dxfId="4346" priority="1170" stopIfTrue="1" operator="between">
      <formula>0</formula>
      <formula>0.375</formula>
    </cfRule>
  </conditionalFormatting>
  <conditionalFormatting sqref="AH152:AI152">
    <cfRule type="cellIs" dxfId="4345" priority="1161" operator="between">
      <formula>0.76</formula>
      <formula>0.95</formula>
    </cfRule>
    <cfRule type="cellIs" dxfId="4344" priority="1162" operator="between">
      <formula>0.51</formula>
      <formula>0.75</formula>
    </cfRule>
    <cfRule type="cellIs" dxfId="4343" priority="1163" operator="greaterThan">
      <formula>1</formula>
    </cfRule>
    <cfRule type="cellIs" dxfId="4342" priority="1164" operator="between">
      <formula>0.96</formula>
      <formula>1</formula>
    </cfRule>
    <cfRule type="cellIs" dxfId="4341" priority="1165" stopIfTrue="1" operator="between">
      <formula>0</formula>
      <formula>0.5</formula>
    </cfRule>
  </conditionalFormatting>
  <conditionalFormatting sqref="AF64:AI64 R64 Y64">
    <cfRule type="cellIs" dxfId="4340" priority="1116" operator="between">
      <formula>0.76</formula>
      <formula>0.95</formula>
    </cfRule>
    <cfRule type="cellIs" dxfId="4339" priority="1117" operator="between">
      <formula>0.51</formula>
      <formula>0.75</formula>
    </cfRule>
    <cfRule type="cellIs" dxfId="4338" priority="1118" operator="greaterThan">
      <formula>1</formula>
    </cfRule>
    <cfRule type="cellIs" dxfId="4337" priority="1119" operator="between">
      <formula>0.95</formula>
      <formula>1</formula>
    </cfRule>
    <cfRule type="cellIs" dxfId="4336" priority="1120" stopIfTrue="1" operator="between">
      <formula>0</formula>
      <formula>0.5</formula>
    </cfRule>
  </conditionalFormatting>
  <conditionalFormatting sqref="T64">
    <cfRule type="cellIs" dxfId="4335" priority="1111" operator="between">
      <formula>0.3751</formula>
      <formula>0.475</formula>
    </cfRule>
    <cfRule type="cellIs" dxfId="4334" priority="1112" operator="between">
      <formula>0.2551</formula>
      <formula>0.375</formula>
    </cfRule>
    <cfRule type="cellIs" dxfId="4333" priority="1113" operator="greaterThan">
      <formula>0.505</formula>
    </cfRule>
    <cfRule type="cellIs" dxfId="4332" priority="1114" operator="between">
      <formula>0.48</formula>
      <formula>0.5</formula>
    </cfRule>
    <cfRule type="cellIs" dxfId="4331" priority="1115" stopIfTrue="1" operator="between">
      <formula>0</formula>
      <formula>0.255</formula>
    </cfRule>
  </conditionalFormatting>
  <conditionalFormatting sqref="AA64:AB64">
    <cfRule type="cellIs" dxfId="4330" priority="1106" operator="between">
      <formula>0.56251</formula>
      <formula>0.7125</formula>
    </cfRule>
    <cfRule type="cellIs" dxfId="4329" priority="1107" operator="between">
      <formula>0.3751</formula>
      <formula>0.5625</formula>
    </cfRule>
    <cfRule type="cellIs" dxfId="4328" priority="1108" operator="greaterThan">
      <formula>0.751</formula>
    </cfRule>
    <cfRule type="cellIs" dxfId="4327" priority="1109" operator="between">
      <formula>0.71251</formula>
      <formula>0.75</formula>
    </cfRule>
    <cfRule type="cellIs" dxfId="4326" priority="1110" stopIfTrue="1" operator="between">
      <formula>0</formula>
      <formula>0.375</formula>
    </cfRule>
  </conditionalFormatting>
  <conditionalFormatting sqref="U64">
    <cfRule type="cellIs" dxfId="4325" priority="1101" operator="between">
      <formula>0.376</formula>
      <formula>0.475</formula>
    </cfRule>
    <cfRule type="cellIs" dxfId="4324" priority="1102" operator="between">
      <formula>0.2551</formula>
      <formula>0.3751</formula>
    </cfRule>
    <cfRule type="cellIs" dxfId="4323" priority="1103" operator="greaterThan">
      <formula>0.505</formula>
    </cfRule>
    <cfRule type="cellIs" dxfId="4322" priority="1104" operator="between">
      <formula>0.48</formula>
      <formula>0.5</formula>
    </cfRule>
    <cfRule type="cellIs" dxfId="4321" priority="1105" stopIfTrue="1" operator="between">
      <formula>0</formula>
      <formula>0.255</formula>
    </cfRule>
  </conditionalFormatting>
  <conditionalFormatting sqref="Z64">
    <cfRule type="cellIs" dxfId="4320" priority="1081" operator="between">
      <formula>0.76</formula>
      <formula>0.95</formula>
    </cfRule>
    <cfRule type="cellIs" dxfId="4319" priority="1082" operator="between">
      <formula>0.51</formula>
      <formula>0.75</formula>
    </cfRule>
    <cfRule type="cellIs" dxfId="4318" priority="1083" operator="greaterThan">
      <formula>1</formula>
    </cfRule>
    <cfRule type="cellIs" dxfId="4317" priority="1084" operator="between">
      <formula>0.95</formula>
      <formula>1</formula>
    </cfRule>
    <cfRule type="cellIs" dxfId="4316" priority="1085" stopIfTrue="1" operator="between">
      <formula>0</formula>
      <formula>0.5</formula>
    </cfRule>
  </conditionalFormatting>
  <conditionalFormatting sqref="AC64">
    <cfRule type="cellIs" dxfId="4315" priority="1076" operator="between">
      <formula>0.56251</formula>
      <formula>0.7125</formula>
    </cfRule>
    <cfRule type="cellIs" dxfId="4314" priority="1077" operator="between">
      <formula>0.3751</formula>
      <formula>0.5625</formula>
    </cfRule>
    <cfRule type="cellIs" dxfId="4313" priority="1078" operator="greaterThan">
      <formula>0.751</formula>
    </cfRule>
    <cfRule type="cellIs" dxfId="4312" priority="1079" operator="between">
      <formula>0.71251</formula>
      <formula>0.75</formula>
    </cfRule>
    <cfRule type="cellIs" dxfId="4311" priority="1080" stopIfTrue="1" operator="between">
      <formula>0</formula>
      <formula>0.375</formula>
    </cfRule>
  </conditionalFormatting>
  <conditionalFormatting sqref="S64">
    <cfRule type="cellIs" dxfId="4310" priority="1071" operator="between">
      <formula>0.76</formula>
      <formula>0.95</formula>
    </cfRule>
    <cfRule type="cellIs" dxfId="4309" priority="1072" operator="between">
      <formula>0.51</formula>
      <formula>0.75</formula>
    </cfRule>
    <cfRule type="cellIs" dxfId="4308" priority="1073" operator="greaterThan">
      <formula>1</formula>
    </cfRule>
    <cfRule type="cellIs" dxfId="4307" priority="1074" operator="between">
      <formula>0.95</formula>
      <formula>1</formula>
    </cfRule>
    <cfRule type="cellIs" dxfId="4306" priority="1075" stopIfTrue="1" operator="between">
      <formula>0</formula>
      <formula>0.5</formula>
    </cfRule>
  </conditionalFormatting>
  <conditionalFormatting sqref="V64">
    <cfRule type="cellIs" dxfId="4305" priority="1066" operator="between">
      <formula>0.376</formula>
      <formula>0.475</formula>
    </cfRule>
    <cfRule type="cellIs" dxfId="4304" priority="1067" operator="between">
      <formula>0.2551</formula>
      <formula>0.3751</formula>
    </cfRule>
    <cfRule type="cellIs" dxfId="4303" priority="1068" operator="greaterThan">
      <formula>0.505</formula>
    </cfRule>
    <cfRule type="cellIs" dxfId="4302" priority="1069" operator="between">
      <formula>0.48</formula>
      <formula>0.5</formula>
    </cfRule>
    <cfRule type="cellIs" dxfId="4301" priority="1070" stopIfTrue="1" operator="between">
      <formula>0</formula>
      <formula>0.255</formula>
    </cfRule>
  </conditionalFormatting>
  <conditionalFormatting sqref="O64">
    <cfRule type="cellIs" dxfId="4300" priority="1056" operator="between">
      <formula>0.1876</formula>
      <formula>0.2375</formula>
    </cfRule>
    <cfRule type="cellIs" dxfId="4299" priority="1057" operator="between">
      <formula>0.1251</formula>
      <formula>0.1875</formula>
    </cfRule>
    <cfRule type="cellIs" dxfId="4298" priority="1058" operator="greaterThan">
      <formula>0.25</formula>
    </cfRule>
    <cfRule type="cellIs" dxfId="4297" priority="1059" operator="between">
      <formula>0.2376</formula>
      <formula>0.25</formula>
    </cfRule>
    <cfRule type="cellIs" dxfId="4296" priority="1060" stopIfTrue="1" operator="between">
      <formula>0</formula>
      <formula>0.125</formula>
    </cfRule>
  </conditionalFormatting>
  <conditionalFormatting sqref="K64">
    <cfRule type="cellIs" dxfId="4295" priority="1046" operator="between">
      <formula>0.76</formula>
      <formula>0.95</formula>
    </cfRule>
    <cfRule type="cellIs" dxfId="4294" priority="1047" operator="between">
      <formula>0.51</formula>
      <formula>0.75</formula>
    </cfRule>
    <cfRule type="cellIs" dxfId="4293" priority="1048" operator="greaterThan">
      <formula>1</formula>
    </cfRule>
    <cfRule type="cellIs" dxfId="4292" priority="1049" operator="between">
      <formula>0.96</formula>
      <formula>1</formula>
    </cfRule>
    <cfRule type="cellIs" dxfId="4291" priority="1050" stopIfTrue="1" operator="between">
      <formula>0</formula>
      <formula>0.5</formula>
    </cfRule>
  </conditionalFormatting>
  <conditionalFormatting sqref="L64">
    <cfRule type="cellIs" dxfId="4290" priority="1041" operator="between">
      <formula>0.76</formula>
      <formula>0.95</formula>
    </cfRule>
    <cfRule type="cellIs" dxfId="4289" priority="1042" operator="between">
      <formula>0.51</formula>
      <formula>0.75</formula>
    </cfRule>
    <cfRule type="cellIs" dxfId="4288" priority="1043" operator="greaterThan">
      <formula>1</formula>
    </cfRule>
    <cfRule type="cellIs" dxfId="4287" priority="1044" operator="between">
      <formula>0.96</formula>
      <formula>1</formula>
    </cfRule>
    <cfRule type="cellIs" dxfId="4286" priority="1045" stopIfTrue="1" operator="between">
      <formula>0</formula>
      <formula>0.5</formula>
    </cfRule>
  </conditionalFormatting>
  <conditionalFormatting sqref="M64">
    <cfRule type="cellIs" dxfId="4285" priority="1036" operator="between">
      <formula>0.76</formula>
      <formula>0.95</formula>
    </cfRule>
    <cfRule type="cellIs" dxfId="4284" priority="1037" operator="between">
      <formula>0.51</formula>
      <formula>0.75</formula>
    </cfRule>
    <cfRule type="cellIs" dxfId="4283" priority="1038" operator="greaterThan">
      <formula>1</formula>
    </cfRule>
    <cfRule type="cellIs" dxfId="4282" priority="1039" operator="between">
      <formula>0.96</formula>
      <formula>1</formula>
    </cfRule>
    <cfRule type="cellIs" dxfId="4281" priority="1040" stopIfTrue="1" operator="between">
      <formula>0</formula>
      <formula>0.5</formula>
    </cfRule>
  </conditionalFormatting>
  <conditionalFormatting sqref="N64">
    <cfRule type="cellIs" dxfId="4280" priority="1031" operator="between">
      <formula>0.76</formula>
      <formula>0.95</formula>
    </cfRule>
    <cfRule type="cellIs" dxfId="4279" priority="1032" operator="between">
      <formula>0.51</formula>
      <formula>0.75</formula>
    </cfRule>
    <cfRule type="cellIs" dxfId="4278" priority="1033" operator="greaterThan">
      <formula>1</formula>
    </cfRule>
    <cfRule type="cellIs" dxfId="4277" priority="1034" operator="between">
      <formula>0.96</formula>
      <formula>1</formula>
    </cfRule>
    <cfRule type="cellIs" dxfId="4276" priority="1035" stopIfTrue="1" operator="between">
      <formula>0</formula>
      <formula>0.5</formula>
    </cfRule>
  </conditionalFormatting>
  <conditionalFormatting sqref="T307">
    <cfRule type="cellIs" dxfId="4275" priority="1026" operator="between">
      <formula>0.3751</formula>
      <formula>0.475</formula>
    </cfRule>
    <cfRule type="cellIs" dxfId="4274" priority="1027" operator="between">
      <formula>0.2551</formula>
      <formula>0.375</formula>
    </cfRule>
    <cfRule type="cellIs" dxfId="4273" priority="1028" operator="greaterThan">
      <formula>0.505</formula>
    </cfRule>
    <cfRule type="cellIs" dxfId="4272" priority="1029" operator="between">
      <formula>0.48</formula>
      <formula>0.5</formula>
    </cfRule>
    <cfRule type="cellIs" dxfId="4271" priority="1030" stopIfTrue="1" operator="between">
      <formula>0</formula>
      <formula>0.255</formula>
    </cfRule>
  </conditionalFormatting>
  <conditionalFormatting sqref="U307">
    <cfRule type="cellIs" dxfId="4270" priority="1021" operator="between">
      <formula>0.376</formula>
      <formula>0.475</formula>
    </cfRule>
    <cfRule type="cellIs" dxfId="4269" priority="1022" operator="between">
      <formula>0.2551</formula>
      <formula>0.3751</formula>
    </cfRule>
    <cfRule type="cellIs" dxfId="4268" priority="1023" operator="greaterThan">
      <formula>0.505</formula>
    </cfRule>
    <cfRule type="cellIs" dxfId="4267" priority="1024" operator="between">
      <formula>0.48</formula>
      <formula>0.5</formula>
    </cfRule>
    <cfRule type="cellIs" dxfId="4266" priority="1025" stopIfTrue="1" operator="between">
      <formula>0</formula>
      <formula>0.255</formula>
    </cfRule>
  </conditionalFormatting>
  <conditionalFormatting sqref="K351:L351">
    <cfRule type="cellIs" dxfId="4265" priority="1016" operator="between">
      <formula>0.76</formula>
      <formula>0.95</formula>
    </cfRule>
    <cfRule type="cellIs" dxfId="4264" priority="1017" operator="between">
      <formula>0.51</formula>
      <formula>0.75</formula>
    </cfRule>
    <cfRule type="cellIs" dxfId="4263" priority="1018" operator="greaterThan">
      <formula>1</formula>
    </cfRule>
    <cfRule type="cellIs" dxfId="4262" priority="1019" operator="between">
      <formula>0.96</formula>
      <formula>1</formula>
    </cfRule>
    <cfRule type="cellIs" dxfId="4261" priority="1020" stopIfTrue="1" operator="between">
      <formula>0</formula>
      <formula>0.5</formula>
    </cfRule>
  </conditionalFormatting>
  <conditionalFormatting sqref="O351">
    <cfRule type="cellIs" dxfId="4260" priority="1011" operator="between">
      <formula>0.1876</formula>
      <formula>0.2375</formula>
    </cfRule>
    <cfRule type="cellIs" dxfId="4259" priority="1012" operator="between">
      <formula>0.1251</formula>
      <formula>0.1875</formula>
    </cfRule>
    <cfRule type="cellIs" dxfId="4258" priority="1013" operator="greaterThan">
      <formula>0.25</formula>
    </cfRule>
    <cfRule type="cellIs" dxfId="4257" priority="1014" operator="between">
      <formula>0.2375</formula>
      <formula>0.25</formula>
    </cfRule>
    <cfRule type="cellIs" dxfId="4256" priority="1015" stopIfTrue="1" operator="between">
      <formula>0</formula>
      <formula>0.125</formula>
    </cfRule>
  </conditionalFormatting>
  <conditionalFormatting sqref="M351:N351">
    <cfRule type="cellIs" dxfId="4255" priority="1006" operator="between">
      <formula>0.1876</formula>
      <formula>0.2375</formula>
    </cfRule>
    <cfRule type="cellIs" dxfId="4254" priority="1007" operator="between">
      <formula>0.1251</formula>
      <formula>0.1875</formula>
    </cfRule>
    <cfRule type="cellIs" dxfId="4253" priority="1008" operator="greaterThan">
      <formula>0.25</formula>
    </cfRule>
    <cfRule type="cellIs" dxfId="4252" priority="1009" operator="between">
      <formula>0.2376</formula>
      <formula>0.25</formula>
    </cfRule>
    <cfRule type="cellIs" dxfId="4251" priority="1010" stopIfTrue="1" operator="between">
      <formula>0</formula>
      <formula>0.125</formula>
    </cfRule>
  </conditionalFormatting>
  <conditionalFormatting sqref="AI351">
    <cfRule type="cellIs" dxfId="4250" priority="916" operator="between">
      <formula>0.76</formula>
      <formula>0.95</formula>
    </cfRule>
    <cfRule type="cellIs" dxfId="4249" priority="917" operator="between">
      <formula>0.51</formula>
      <formula>0.75</formula>
    </cfRule>
    <cfRule type="cellIs" dxfId="4248" priority="918" operator="greaterThan">
      <formula>1</formula>
    </cfRule>
    <cfRule type="cellIs" dxfId="4247" priority="919" operator="between">
      <formula>0.95</formula>
      <formula>1</formula>
    </cfRule>
    <cfRule type="cellIs" dxfId="4246" priority="920" stopIfTrue="1" operator="between">
      <formula>0</formula>
      <formula>0.5</formula>
    </cfRule>
  </conditionalFormatting>
  <conditionalFormatting sqref="R351">
    <cfRule type="cellIs" dxfId="4245" priority="911" operator="between">
      <formula>0.76</formula>
      <formula>0.95</formula>
    </cfRule>
    <cfRule type="cellIs" dxfId="4244" priority="912" operator="between">
      <formula>0.51</formula>
      <formula>0.75</formula>
    </cfRule>
    <cfRule type="cellIs" dxfId="4243" priority="913" operator="greaterThan">
      <formula>1</formula>
    </cfRule>
    <cfRule type="cellIs" dxfId="4242" priority="914" operator="between">
      <formula>0.95</formula>
      <formula>1</formula>
    </cfRule>
    <cfRule type="cellIs" dxfId="4241" priority="915" stopIfTrue="1" operator="between">
      <formula>0</formula>
      <formula>0.5</formula>
    </cfRule>
  </conditionalFormatting>
  <conditionalFormatting sqref="Y351">
    <cfRule type="cellIs" dxfId="4240" priority="906" operator="between">
      <formula>0.76</formula>
      <formula>0.95</formula>
    </cfRule>
    <cfRule type="cellIs" dxfId="4239" priority="907" operator="between">
      <formula>0.51</formula>
      <formula>0.75</formula>
    </cfRule>
    <cfRule type="cellIs" dxfId="4238" priority="908" operator="greaterThan">
      <formula>1</formula>
    </cfRule>
    <cfRule type="cellIs" dxfId="4237" priority="909" operator="between">
      <formula>0.95</formula>
      <formula>1</formula>
    </cfRule>
    <cfRule type="cellIs" dxfId="4236" priority="910" stopIfTrue="1" operator="between">
      <formula>0</formula>
      <formula>0.5</formula>
    </cfRule>
  </conditionalFormatting>
  <conditionalFormatting sqref="AF351">
    <cfRule type="cellIs" dxfId="4235" priority="901" operator="between">
      <formula>0.76</formula>
      <formula>0.95</formula>
    </cfRule>
    <cfRule type="cellIs" dxfId="4234" priority="902" operator="between">
      <formula>0.51</formula>
      <formula>0.75</formula>
    </cfRule>
    <cfRule type="cellIs" dxfId="4233" priority="903" operator="greaterThan">
      <formula>1</formula>
    </cfRule>
    <cfRule type="cellIs" dxfId="4232" priority="904" operator="between">
      <formula>0.95</formula>
      <formula>1</formula>
    </cfRule>
    <cfRule type="cellIs" dxfId="4231" priority="905" stopIfTrue="1" operator="between">
      <formula>0</formula>
      <formula>0.5</formula>
    </cfRule>
  </conditionalFormatting>
  <conditionalFormatting sqref="AH351">
    <cfRule type="cellIs" dxfId="4230" priority="896" operator="between">
      <formula>0.76</formula>
      <formula>0.95</formula>
    </cfRule>
    <cfRule type="cellIs" dxfId="4229" priority="897" operator="between">
      <formula>0.51</formula>
      <formula>0.75</formula>
    </cfRule>
    <cfRule type="cellIs" dxfId="4228" priority="898" operator="greaterThan">
      <formula>1</formula>
    </cfRule>
    <cfRule type="cellIs" dxfId="4227" priority="899" operator="between">
      <formula>0.95</formula>
      <formula>1</formula>
    </cfRule>
    <cfRule type="cellIs" dxfId="4226" priority="900" stopIfTrue="1" operator="between">
      <formula>0</formula>
      <formula>0.5</formula>
    </cfRule>
  </conditionalFormatting>
  <conditionalFormatting sqref="T351">
    <cfRule type="cellIs" dxfId="4225" priority="891" operator="between">
      <formula>0.3751</formula>
      <formula>0.475</formula>
    </cfRule>
    <cfRule type="cellIs" dxfId="4224" priority="892" operator="between">
      <formula>0.2551</formula>
      <formula>0.375</formula>
    </cfRule>
    <cfRule type="cellIs" dxfId="4223" priority="893" operator="greaterThan">
      <formula>0.505</formula>
    </cfRule>
    <cfRule type="cellIs" dxfId="4222" priority="894" operator="between">
      <formula>0.48</formula>
      <formula>0.5</formula>
    </cfRule>
    <cfRule type="cellIs" dxfId="4221" priority="895" stopIfTrue="1" operator="between">
      <formula>0</formula>
      <formula>0.255</formula>
    </cfRule>
  </conditionalFormatting>
  <conditionalFormatting sqref="U351">
    <cfRule type="cellIs" dxfId="4220" priority="886" operator="between">
      <formula>0.376</formula>
      <formula>0.475</formula>
    </cfRule>
    <cfRule type="cellIs" dxfId="4219" priority="887" operator="between">
      <formula>0.2551</formula>
      <formula>0.3751</formula>
    </cfRule>
    <cfRule type="cellIs" dxfId="4218" priority="888" operator="greaterThan">
      <formula>0.505</formula>
    </cfRule>
    <cfRule type="cellIs" dxfId="4217" priority="889" operator="between">
      <formula>0.48</formula>
      <formula>0.5</formula>
    </cfRule>
    <cfRule type="cellIs" dxfId="4216" priority="890" stopIfTrue="1" operator="between">
      <formula>0</formula>
      <formula>0.255</formula>
    </cfRule>
  </conditionalFormatting>
  <conditionalFormatting sqref="AA351">
    <cfRule type="cellIs" dxfId="4215" priority="881" operator="between">
      <formula>0.56251</formula>
      <formula>0.7125</formula>
    </cfRule>
    <cfRule type="cellIs" dxfId="4214" priority="882" operator="between">
      <formula>0.3751</formula>
      <formula>0.5625</formula>
    </cfRule>
    <cfRule type="cellIs" dxfId="4213" priority="883" operator="greaterThan">
      <formula>0.751</formula>
    </cfRule>
    <cfRule type="cellIs" dxfId="4212" priority="884" operator="between">
      <formula>0.71251</formula>
      <formula>0.75</formula>
    </cfRule>
    <cfRule type="cellIs" dxfId="4211" priority="885" stopIfTrue="1" operator="between">
      <formula>0</formula>
      <formula>0.375</formula>
    </cfRule>
  </conditionalFormatting>
  <conditionalFormatting sqref="AB351">
    <cfRule type="cellIs" dxfId="4210" priority="876" operator="between">
      <formula>0.56251</formula>
      <formula>0.7125</formula>
    </cfRule>
    <cfRule type="cellIs" dxfId="4209" priority="877" operator="between">
      <formula>0.3751</formula>
      <formula>0.5625</formula>
    </cfRule>
    <cfRule type="cellIs" dxfId="4208" priority="878" operator="greaterThan">
      <formula>0.751</formula>
    </cfRule>
    <cfRule type="cellIs" dxfId="4207" priority="879" operator="between">
      <formula>0.71251</formula>
      <formula>0.75</formula>
    </cfRule>
    <cfRule type="cellIs" dxfId="4206" priority="880" stopIfTrue="1" operator="between">
      <formula>0</formula>
      <formula>0.375</formula>
    </cfRule>
  </conditionalFormatting>
  <conditionalFormatting sqref="S351">
    <cfRule type="cellIs" dxfId="4205" priority="866" operator="between">
      <formula>0.76</formula>
      <formula>0.95</formula>
    </cfRule>
    <cfRule type="cellIs" dxfId="4204" priority="867" operator="between">
      <formula>0.51</formula>
      <formula>0.75</formula>
    </cfRule>
    <cfRule type="cellIs" dxfId="4203" priority="868" operator="greaterThan">
      <formula>1</formula>
    </cfRule>
    <cfRule type="cellIs" dxfId="4202" priority="869" operator="between">
      <formula>0.95</formula>
      <formula>1</formula>
    </cfRule>
    <cfRule type="cellIs" dxfId="4201" priority="870" stopIfTrue="1" operator="between">
      <formula>0</formula>
      <formula>0.5</formula>
    </cfRule>
  </conditionalFormatting>
  <conditionalFormatting sqref="AG351">
    <cfRule type="cellIs" dxfId="4200" priority="871" operator="between">
      <formula>0.76</formula>
      <formula>0.95</formula>
    </cfRule>
    <cfRule type="cellIs" dxfId="4199" priority="872" operator="between">
      <formula>0.51</formula>
      <formula>0.75</formula>
    </cfRule>
    <cfRule type="cellIs" dxfId="4198" priority="873" operator="greaterThan">
      <formula>1</formula>
    </cfRule>
    <cfRule type="cellIs" dxfId="4197" priority="874" operator="between">
      <formula>0.95</formula>
      <formula>1</formula>
    </cfRule>
    <cfRule type="cellIs" dxfId="4196" priority="875" stopIfTrue="1" operator="between">
      <formula>0</formula>
      <formula>0.5</formula>
    </cfRule>
  </conditionalFormatting>
  <conditionalFormatting sqref="V351">
    <cfRule type="cellIs" dxfId="4195" priority="861" operator="between">
      <formula>0.376</formula>
      <formula>0.475</formula>
    </cfRule>
    <cfRule type="cellIs" dxfId="4194" priority="862" operator="between">
      <formula>0.2551</formula>
      <formula>0.3751</formula>
    </cfRule>
    <cfRule type="cellIs" dxfId="4193" priority="863" operator="greaterThan">
      <formula>0.505</formula>
    </cfRule>
    <cfRule type="cellIs" dxfId="4192" priority="864" operator="between">
      <formula>0.48</formula>
      <formula>0.5</formula>
    </cfRule>
    <cfRule type="cellIs" dxfId="4191" priority="865" stopIfTrue="1" operator="between">
      <formula>0</formula>
      <formula>0.255</formula>
    </cfRule>
  </conditionalFormatting>
  <conditionalFormatting sqref="Z351">
    <cfRule type="cellIs" dxfId="4190" priority="856" operator="between">
      <formula>0.76</formula>
      <formula>0.95</formula>
    </cfRule>
    <cfRule type="cellIs" dxfId="4189" priority="857" operator="between">
      <formula>0.51</formula>
      <formula>0.75</formula>
    </cfRule>
    <cfRule type="cellIs" dxfId="4188" priority="858" operator="greaterThan">
      <formula>1</formula>
    </cfRule>
    <cfRule type="cellIs" dxfId="4187" priority="859" operator="between">
      <formula>0.95</formula>
      <formula>1</formula>
    </cfRule>
    <cfRule type="cellIs" dxfId="4186" priority="860" stopIfTrue="1" operator="between">
      <formula>0</formula>
      <formula>0.5</formula>
    </cfRule>
  </conditionalFormatting>
  <conditionalFormatting sqref="AC351">
    <cfRule type="cellIs" dxfId="4185" priority="851" operator="between">
      <formula>0.56251</formula>
      <formula>0.7125</formula>
    </cfRule>
    <cfRule type="cellIs" dxfId="4184" priority="852" operator="between">
      <formula>0.3751</formula>
      <formula>0.5625</formula>
    </cfRule>
    <cfRule type="cellIs" dxfId="4183" priority="853" operator="greaterThan">
      <formula>0.751</formula>
    </cfRule>
    <cfRule type="cellIs" dxfId="4182" priority="854" operator="between">
      <formula>0.71251</formula>
      <formula>0.75</formula>
    </cfRule>
    <cfRule type="cellIs" dxfId="4181" priority="855" stopIfTrue="1" operator="between">
      <formula>0</formula>
      <formula>0.375</formula>
    </cfRule>
  </conditionalFormatting>
  <conditionalFormatting sqref="AG89">
    <cfRule type="cellIs" dxfId="4180" priority="840" operator="between">
      <formula>0.76</formula>
      <formula>0.95</formula>
    </cfRule>
    <cfRule type="cellIs" dxfId="4179" priority="841" operator="between">
      <formula>0.51</formula>
      <formula>0.75</formula>
    </cfRule>
    <cfRule type="cellIs" dxfId="4178" priority="842" operator="greaterThan">
      <formula>1</formula>
    </cfRule>
    <cfRule type="cellIs" dxfId="4177" priority="843" operator="between">
      <formula>0.95</formula>
      <formula>1</formula>
    </cfRule>
    <cfRule type="cellIs" dxfId="4176" priority="844" stopIfTrue="1" operator="between">
      <formula>0</formula>
      <formula>0.5</formula>
    </cfRule>
  </conditionalFormatting>
  <conditionalFormatting sqref="AG90">
    <cfRule type="cellIs" dxfId="4175" priority="835" operator="between">
      <formula>0.76</formula>
      <formula>0.95</formula>
    </cfRule>
    <cfRule type="cellIs" dxfId="4174" priority="836" operator="between">
      <formula>0.51</formula>
      <formula>0.75</formula>
    </cfRule>
    <cfRule type="cellIs" dxfId="4173" priority="837" operator="greaterThan">
      <formula>1</formula>
    </cfRule>
    <cfRule type="cellIs" dxfId="4172" priority="838" operator="between">
      <formula>0.95</formula>
      <formula>1</formula>
    </cfRule>
    <cfRule type="cellIs" dxfId="4171" priority="839" stopIfTrue="1" operator="between">
      <formula>0</formula>
      <formula>0.5</formula>
    </cfRule>
  </conditionalFormatting>
  <conditionalFormatting sqref="S90">
    <cfRule type="cellIs" dxfId="4170" priority="830" operator="between">
      <formula>0.76</formula>
      <formula>0.95</formula>
    </cfRule>
    <cfRule type="cellIs" dxfId="4169" priority="831" operator="between">
      <formula>0.51</formula>
      <formula>0.75</formula>
    </cfRule>
    <cfRule type="cellIs" dxfId="4168" priority="832" operator="greaterThan">
      <formula>1</formula>
    </cfRule>
    <cfRule type="cellIs" dxfId="4167" priority="833" operator="between">
      <formula>0.95</formula>
      <formula>1</formula>
    </cfRule>
    <cfRule type="cellIs" dxfId="4166" priority="834" stopIfTrue="1" operator="between">
      <formula>0</formula>
      <formula>0.5</formula>
    </cfRule>
  </conditionalFormatting>
  <conditionalFormatting sqref="S91">
    <cfRule type="cellIs" dxfId="4165" priority="825" operator="between">
      <formula>0.76</formula>
      <formula>0.95</formula>
    </cfRule>
    <cfRule type="cellIs" dxfId="4164" priority="826" operator="between">
      <formula>0.51</formula>
      <formula>0.75</formula>
    </cfRule>
    <cfRule type="cellIs" dxfId="4163" priority="827" operator="greaterThan">
      <formula>1</formula>
    </cfRule>
    <cfRule type="cellIs" dxfId="4162" priority="828" operator="between">
      <formula>0.95</formula>
      <formula>1</formula>
    </cfRule>
    <cfRule type="cellIs" dxfId="4161" priority="829" stopIfTrue="1" operator="between">
      <formula>0</formula>
      <formula>0.5</formula>
    </cfRule>
  </conditionalFormatting>
  <conditionalFormatting sqref="V90">
    <cfRule type="cellIs" dxfId="4160" priority="820" operator="between">
      <formula>0.376</formula>
      <formula>0.475</formula>
    </cfRule>
    <cfRule type="cellIs" dxfId="4159" priority="821" operator="between">
      <formula>0.2551</formula>
      <formula>0.3751</formula>
    </cfRule>
    <cfRule type="cellIs" dxfId="4158" priority="822" operator="greaterThan">
      <formula>0.505</formula>
    </cfRule>
    <cfRule type="cellIs" dxfId="4157" priority="823" operator="between">
      <formula>0.48</formula>
      <formula>0.5</formula>
    </cfRule>
    <cfRule type="cellIs" dxfId="4156" priority="824" stopIfTrue="1" operator="between">
      <formula>0</formula>
      <formula>0.255</formula>
    </cfRule>
  </conditionalFormatting>
  <conditionalFormatting sqref="V91">
    <cfRule type="cellIs" dxfId="4155" priority="815" operator="between">
      <formula>0.376</formula>
      <formula>0.475</formula>
    </cfRule>
    <cfRule type="cellIs" dxfId="4154" priority="816" operator="between">
      <formula>0.2551</formula>
      <formula>0.3751</formula>
    </cfRule>
    <cfRule type="cellIs" dxfId="4153" priority="817" operator="greaterThan">
      <formula>0.505</formula>
    </cfRule>
    <cfRule type="cellIs" dxfId="4152" priority="818" operator="between">
      <formula>0.48</formula>
      <formula>0.5</formula>
    </cfRule>
    <cfRule type="cellIs" dxfId="4151" priority="819" stopIfTrue="1" operator="between">
      <formula>0</formula>
      <formula>0.255</formula>
    </cfRule>
  </conditionalFormatting>
  <conditionalFormatting sqref="AG94">
    <cfRule type="cellIs" dxfId="4150" priority="810" operator="between">
      <formula>0.76</formula>
      <formula>0.95</formula>
    </cfRule>
    <cfRule type="cellIs" dxfId="4149" priority="811" operator="between">
      <formula>0.51</formula>
      <formula>0.75</formula>
    </cfRule>
    <cfRule type="cellIs" dxfId="4148" priority="812" operator="greaterThan">
      <formula>1</formula>
    </cfRule>
    <cfRule type="cellIs" dxfId="4147" priority="813" operator="between">
      <formula>0.95</formula>
      <formula>1</formula>
    </cfRule>
    <cfRule type="cellIs" dxfId="4146" priority="814" stopIfTrue="1" operator="between">
      <formula>0</formula>
      <formula>0.5</formula>
    </cfRule>
  </conditionalFormatting>
  <conditionalFormatting sqref="AG95">
    <cfRule type="cellIs" dxfId="4145" priority="805" operator="between">
      <formula>0.76</formula>
      <formula>0.95</formula>
    </cfRule>
    <cfRule type="cellIs" dxfId="4144" priority="806" operator="between">
      <formula>0.51</formula>
      <formula>0.75</formula>
    </cfRule>
    <cfRule type="cellIs" dxfId="4143" priority="807" operator="greaterThan">
      <formula>1</formula>
    </cfRule>
    <cfRule type="cellIs" dxfId="4142" priority="808" operator="between">
      <formula>0.95</formula>
      <formula>1</formula>
    </cfRule>
    <cfRule type="cellIs" dxfId="4141" priority="809" stopIfTrue="1" operator="between">
      <formula>0</formula>
      <formula>0.5</formula>
    </cfRule>
  </conditionalFormatting>
  <conditionalFormatting sqref="AG96">
    <cfRule type="cellIs" dxfId="4140" priority="800" operator="between">
      <formula>0.76</formula>
      <formula>0.95</formula>
    </cfRule>
    <cfRule type="cellIs" dxfId="4139" priority="801" operator="between">
      <formula>0.51</formula>
      <formula>0.75</formula>
    </cfRule>
    <cfRule type="cellIs" dxfId="4138" priority="802" operator="greaterThan">
      <formula>1</formula>
    </cfRule>
    <cfRule type="cellIs" dxfId="4137" priority="803" operator="between">
      <formula>0.95</formula>
      <formula>1</formula>
    </cfRule>
    <cfRule type="cellIs" dxfId="4136" priority="804" stopIfTrue="1" operator="between">
      <formula>0</formula>
      <formula>0.5</formula>
    </cfRule>
  </conditionalFormatting>
  <conditionalFormatting sqref="M117">
    <cfRule type="cellIs" dxfId="4135" priority="795" operator="between">
      <formula>0.1876</formula>
      <formula>0.2375</formula>
    </cfRule>
    <cfRule type="cellIs" dxfId="4134" priority="796" operator="between">
      <formula>0.1251</formula>
      <formula>0.1875</formula>
    </cfRule>
    <cfRule type="cellIs" dxfId="4133" priority="797" operator="greaterThan">
      <formula>0.25</formula>
    </cfRule>
    <cfRule type="cellIs" dxfId="4132" priority="798" operator="between">
      <formula>0.2375</formula>
      <formula>0.25</formula>
    </cfRule>
    <cfRule type="cellIs" dxfId="4131" priority="799" stopIfTrue="1" operator="between">
      <formula>0</formula>
      <formula>0.125</formula>
    </cfRule>
  </conditionalFormatting>
  <conditionalFormatting sqref="N117">
    <cfRule type="cellIs" dxfId="4130" priority="790" operator="between">
      <formula>0.1876</formula>
      <formula>0.2375</formula>
    </cfRule>
    <cfRule type="cellIs" dxfId="4129" priority="791" operator="between">
      <formula>0.1251</formula>
      <formula>0.1875</formula>
    </cfRule>
    <cfRule type="cellIs" dxfId="4128" priority="792" operator="greaterThan">
      <formula>0.25</formula>
    </cfRule>
    <cfRule type="cellIs" dxfId="4127" priority="793" operator="between">
      <formula>0.2376</formula>
      <formula>0.25</formula>
    </cfRule>
    <cfRule type="cellIs" dxfId="4126" priority="794" stopIfTrue="1" operator="between">
      <formula>0</formula>
      <formula>0.125</formula>
    </cfRule>
  </conditionalFormatting>
  <conditionalFormatting sqref="K281:L281">
    <cfRule type="cellIs" dxfId="4125" priority="710" operator="between">
      <formula>0.76</formula>
      <formula>0.95</formula>
    </cfRule>
    <cfRule type="cellIs" dxfId="4124" priority="711" operator="between">
      <formula>0.51</formula>
      <formula>0.75</formula>
    </cfRule>
    <cfRule type="cellIs" dxfId="4123" priority="712" operator="greaterThan">
      <formula>1</formula>
    </cfRule>
    <cfRule type="cellIs" dxfId="4122" priority="713" operator="between">
      <formula>0.96</formula>
      <formula>1</formula>
    </cfRule>
    <cfRule type="cellIs" dxfId="4121" priority="714" stopIfTrue="1" operator="between">
      <formula>0</formula>
      <formula>0.5</formula>
    </cfRule>
  </conditionalFormatting>
  <conditionalFormatting sqref="O281">
    <cfRule type="cellIs" dxfId="4120" priority="705" operator="between">
      <formula>0.1876</formula>
      <formula>0.2375</formula>
    </cfRule>
    <cfRule type="cellIs" dxfId="4119" priority="706" operator="between">
      <formula>0.1251</formula>
      <formula>0.1875</formula>
    </cfRule>
    <cfRule type="cellIs" dxfId="4118" priority="707" operator="greaterThan">
      <formula>0.25</formula>
    </cfRule>
    <cfRule type="cellIs" dxfId="4117" priority="708" operator="between">
      <formula>0.2375</formula>
      <formula>0.25</formula>
    </cfRule>
    <cfRule type="cellIs" dxfId="4116" priority="709" stopIfTrue="1" operator="between">
      <formula>0</formula>
      <formula>0.125</formula>
    </cfRule>
  </conditionalFormatting>
  <conditionalFormatting sqref="M281:N281">
    <cfRule type="cellIs" dxfId="4115" priority="700" operator="between">
      <formula>0.1876</formula>
      <formula>0.2375</formula>
    </cfRule>
    <cfRule type="cellIs" dxfId="4114" priority="701" operator="between">
      <formula>0.1251</formula>
      <formula>0.1875</formula>
    </cfRule>
    <cfRule type="cellIs" dxfId="4113" priority="702" operator="greaterThan">
      <formula>0.25</formula>
    </cfRule>
    <cfRule type="cellIs" dxfId="4112" priority="703" operator="between">
      <formula>0.2376</formula>
      <formula>0.25</formula>
    </cfRule>
    <cfRule type="cellIs" dxfId="4111" priority="704" stopIfTrue="1" operator="between">
      <formula>0</formula>
      <formula>0.125</formula>
    </cfRule>
  </conditionalFormatting>
  <conditionalFormatting sqref="AH281:AI281 R281 AF281 Y281">
    <cfRule type="cellIs" dxfId="4110" priority="695" operator="between">
      <formula>0.76</formula>
      <formula>0.95</formula>
    </cfRule>
    <cfRule type="cellIs" dxfId="4109" priority="696" operator="between">
      <formula>0.51</formula>
      <formula>0.75</formula>
    </cfRule>
    <cfRule type="cellIs" dxfId="4108" priority="697" operator="greaterThan">
      <formula>1</formula>
    </cfRule>
    <cfRule type="cellIs" dxfId="4107" priority="698" operator="between">
      <formula>0.95</formula>
      <formula>1</formula>
    </cfRule>
    <cfRule type="cellIs" dxfId="4106" priority="699" stopIfTrue="1" operator="between">
      <formula>0</formula>
      <formula>0.5</formula>
    </cfRule>
  </conditionalFormatting>
  <conditionalFormatting sqref="T281">
    <cfRule type="cellIs" dxfId="4105" priority="690" operator="between">
      <formula>0.3751</formula>
      <formula>0.475</formula>
    </cfRule>
    <cfRule type="cellIs" dxfId="4104" priority="691" operator="between">
      <formula>0.2551</formula>
      <formula>0.375</formula>
    </cfRule>
    <cfRule type="cellIs" dxfId="4103" priority="692" operator="greaterThan">
      <formula>0.505</formula>
    </cfRule>
    <cfRule type="cellIs" dxfId="4102" priority="693" operator="between">
      <formula>0.48</formula>
      <formula>0.5</formula>
    </cfRule>
    <cfRule type="cellIs" dxfId="4101" priority="694" stopIfTrue="1" operator="between">
      <formula>0</formula>
      <formula>0.255</formula>
    </cfRule>
  </conditionalFormatting>
  <conditionalFormatting sqref="AA281:AB281">
    <cfRule type="cellIs" dxfId="4100" priority="685" operator="between">
      <formula>0.56251</formula>
      <formula>0.7125</formula>
    </cfRule>
    <cfRule type="cellIs" dxfId="4099" priority="686" operator="between">
      <formula>0.3751</formula>
      <formula>0.5625</formula>
    </cfRule>
    <cfRule type="cellIs" dxfId="4098" priority="687" operator="greaterThan">
      <formula>0.751</formula>
    </cfRule>
    <cfRule type="cellIs" dxfId="4097" priority="688" operator="between">
      <formula>0.71251</formula>
      <formula>0.75</formula>
    </cfRule>
    <cfRule type="cellIs" dxfId="4096" priority="689" stopIfTrue="1" operator="between">
      <formula>0</formula>
      <formula>0.375</formula>
    </cfRule>
  </conditionalFormatting>
  <conditionalFormatting sqref="U281">
    <cfRule type="cellIs" dxfId="4095" priority="680" operator="between">
      <formula>0.376</formula>
      <formula>0.475</formula>
    </cfRule>
    <cfRule type="cellIs" dxfId="4094" priority="681" operator="between">
      <formula>0.2551</formula>
      <formula>0.3751</formula>
    </cfRule>
    <cfRule type="cellIs" dxfId="4093" priority="682" operator="greaterThan">
      <formula>0.505</formula>
    </cfRule>
    <cfRule type="cellIs" dxfId="4092" priority="683" operator="between">
      <formula>0.48</formula>
      <formula>0.5</formula>
    </cfRule>
    <cfRule type="cellIs" dxfId="4091" priority="684" stopIfTrue="1" operator="between">
      <formula>0</formula>
      <formula>0.255</formula>
    </cfRule>
  </conditionalFormatting>
  <conditionalFormatting sqref="AC281">
    <cfRule type="cellIs" dxfId="4090" priority="672" operator="between">
      <formula>0.56251</formula>
      <formula>0.7125</formula>
    </cfRule>
    <cfRule type="cellIs" dxfId="4089" priority="673" operator="between">
      <formula>0.3751</formula>
      <formula>0.5625</formula>
    </cfRule>
    <cfRule type="cellIs" dxfId="4088" priority="674" operator="greaterThan">
      <formula>0.751</formula>
    </cfRule>
    <cfRule type="cellIs" dxfId="4087" priority="675" operator="between">
      <formula>0.71251</formula>
      <formula>0.75</formula>
    </cfRule>
    <cfRule type="cellIs" dxfId="4086" priority="676" stopIfTrue="1" operator="between">
      <formula>0</formula>
      <formula>0.375</formula>
    </cfRule>
  </conditionalFormatting>
  <conditionalFormatting sqref="V281">
    <cfRule type="cellIs" dxfId="4085" priority="667" operator="between">
      <formula>0.376</formula>
      <formula>0.475</formula>
    </cfRule>
    <cfRule type="cellIs" dxfId="4084" priority="668" operator="between">
      <formula>0.2551</formula>
      <formula>0.3751</formula>
    </cfRule>
    <cfRule type="cellIs" dxfId="4083" priority="669" operator="greaterThan">
      <formula>0.505</formula>
    </cfRule>
    <cfRule type="cellIs" dxfId="4082" priority="670" operator="between">
      <formula>0.48</formula>
      <formula>0.5</formula>
    </cfRule>
    <cfRule type="cellIs" dxfId="4081" priority="671" stopIfTrue="1" operator="between">
      <formula>0</formula>
      <formula>0.255</formula>
    </cfRule>
  </conditionalFormatting>
  <conditionalFormatting sqref="S281">
    <cfRule type="cellIs" dxfId="4080" priority="662" operator="between">
      <formula>0.76</formula>
      <formula>0.95</formula>
    </cfRule>
    <cfRule type="cellIs" dxfId="4079" priority="663" operator="between">
      <formula>0.51</formula>
      <formula>0.75</formula>
    </cfRule>
    <cfRule type="cellIs" dxfId="4078" priority="664" operator="greaterThan">
      <formula>1</formula>
    </cfRule>
    <cfRule type="cellIs" dxfId="4077" priority="665" operator="between">
      <formula>0.95</formula>
      <formula>1</formula>
    </cfRule>
    <cfRule type="cellIs" dxfId="4076" priority="666" stopIfTrue="1" operator="between">
      <formula>0</formula>
      <formula>0.5</formula>
    </cfRule>
  </conditionalFormatting>
  <conditionalFormatting sqref="Z281">
    <cfRule type="cellIs" dxfId="4075" priority="657" operator="between">
      <formula>0.76</formula>
      <formula>0.95</formula>
    </cfRule>
    <cfRule type="cellIs" dxfId="4074" priority="658" operator="between">
      <formula>0.51</formula>
      <formula>0.75</formula>
    </cfRule>
    <cfRule type="cellIs" dxfId="4073" priority="659" operator="greaterThan">
      <formula>1</formula>
    </cfRule>
    <cfRule type="cellIs" dxfId="4072" priority="660" operator="between">
      <formula>0.95</formula>
      <formula>1</formula>
    </cfRule>
    <cfRule type="cellIs" dxfId="4071" priority="661" stopIfTrue="1" operator="between">
      <formula>0</formula>
      <formula>0.5</formula>
    </cfRule>
  </conditionalFormatting>
  <conditionalFormatting sqref="AG281">
    <cfRule type="cellIs" dxfId="4070" priority="652" operator="between">
      <formula>0.76</formula>
      <formula>0.95</formula>
    </cfRule>
    <cfRule type="cellIs" dxfId="4069" priority="653" operator="between">
      <formula>0.51</formula>
      <formula>0.75</formula>
    </cfRule>
    <cfRule type="cellIs" dxfId="4068" priority="654" operator="greaterThan">
      <formula>1</formula>
    </cfRule>
    <cfRule type="cellIs" dxfId="4067" priority="655" operator="between">
      <formula>0.95</formula>
      <formula>1</formula>
    </cfRule>
    <cfRule type="cellIs" dxfId="4066" priority="656" stopIfTrue="1" operator="between">
      <formula>0</formula>
      <formula>0.5</formula>
    </cfRule>
  </conditionalFormatting>
  <conditionalFormatting sqref="L222">
    <cfRule type="cellIs" dxfId="4065" priority="637" operator="between">
      <formula>0.76</formula>
      <formula>0.95</formula>
    </cfRule>
    <cfRule type="cellIs" dxfId="4064" priority="638" operator="between">
      <formula>0.51</formula>
      <formula>0.75</formula>
    </cfRule>
    <cfRule type="cellIs" dxfId="4063" priority="639" operator="greaterThan">
      <formula>1</formula>
    </cfRule>
    <cfRule type="cellIs" dxfId="4062" priority="640" operator="between">
      <formula>0.96</formula>
      <formula>1</formula>
    </cfRule>
    <cfRule type="cellIs" dxfId="4061" priority="641" stopIfTrue="1" operator="between">
      <formula>0</formula>
      <formula>0.5</formula>
    </cfRule>
  </conditionalFormatting>
  <conditionalFormatting sqref="O222">
    <cfRule type="cellIs" dxfId="4060" priority="632" operator="between">
      <formula>0.1876</formula>
      <formula>0.2375</formula>
    </cfRule>
    <cfRule type="cellIs" dxfId="4059" priority="633" operator="between">
      <formula>0.1251</formula>
      <formula>0.1875</formula>
    </cfRule>
    <cfRule type="cellIs" dxfId="4058" priority="634" operator="greaterThan">
      <formula>0.25</formula>
    </cfRule>
    <cfRule type="cellIs" dxfId="4057" priority="635" operator="between">
      <formula>0.2375</formula>
      <formula>0.25</formula>
    </cfRule>
    <cfRule type="cellIs" dxfId="4056" priority="636" stopIfTrue="1" operator="between">
      <formula>0</formula>
      <formula>0.125</formula>
    </cfRule>
  </conditionalFormatting>
  <conditionalFormatting sqref="M222:N222">
    <cfRule type="cellIs" dxfId="4055" priority="627" operator="between">
      <formula>0.1876</formula>
      <formula>0.2375</formula>
    </cfRule>
    <cfRule type="cellIs" dxfId="4054" priority="628" operator="between">
      <formula>0.1251</formula>
      <formula>0.1875</formula>
    </cfRule>
    <cfRule type="cellIs" dxfId="4053" priority="629" operator="greaterThan">
      <formula>0.25</formula>
    </cfRule>
    <cfRule type="cellIs" dxfId="4052" priority="630" operator="between">
      <formula>0.2376</formula>
      <formula>0.25</formula>
    </cfRule>
    <cfRule type="cellIs" dxfId="4051" priority="631" stopIfTrue="1" operator="between">
      <formula>0</formula>
      <formula>0.125</formula>
    </cfRule>
  </conditionalFormatting>
  <conditionalFormatting sqref="R222:S222 Y222:Z222 AF222:AI222">
    <cfRule type="cellIs" dxfId="4050" priority="622" operator="between">
      <formula>0.76</formula>
      <formula>0.95</formula>
    </cfRule>
    <cfRule type="cellIs" dxfId="4049" priority="623" operator="between">
      <formula>0.51</formula>
      <formula>0.75</formula>
    </cfRule>
    <cfRule type="cellIs" dxfId="4048" priority="624" operator="greaterThan">
      <formula>1</formula>
    </cfRule>
    <cfRule type="cellIs" dxfId="4047" priority="625" operator="between">
      <formula>0.95</formula>
      <formula>1</formula>
    </cfRule>
    <cfRule type="cellIs" dxfId="4046" priority="626" stopIfTrue="1" operator="between">
      <formula>0</formula>
      <formula>0.5</formula>
    </cfRule>
  </conditionalFormatting>
  <conditionalFormatting sqref="T222">
    <cfRule type="cellIs" dxfId="4045" priority="617" operator="between">
      <formula>0.3751</formula>
      <formula>0.475</formula>
    </cfRule>
    <cfRule type="cellIs" dxfId="4044" priority="618" operator="between">
      <formula>0.2551</formula>
      <formula>0.375</formula>
    </cfRule>
    <cfRule type="cellIs" dxfId="4043" priority="619" operator="greaterThan">
      <formula>0.505</formula>
    </cfRule>
    <cfRule type="cellIs" dxfId="4042" priority="620" operator="between">
      <formula>0.48</formula>
      <formula>0.5</formula>
    </cfRule>
    <cfRule type="cellIs" dxfId="4041" priority="621" stopIfTrue="1" operator="between">
      <formula>0</formula>
      <formula>0.255</formula>
    </cfRule>
  </conditionalFormatting>
  <conditionalFormatting sqref="AA222:AC222">
    <cfRule type="cellIs" dxfId="4040" priority="612" operator="between">
      <formula>0.56251</formula>
      <formula>0.7125</formula>
    </cfRule>
    <cfRule type="cellIs" dxfId="4039" priority="613" operator="between">
      <formula>0.3751</formula>
      <formula>0.5625</formula>
    </cfRule>
    <cfRule type="cellIs" dxfId="4038" priority="614" operator="greaterThan">
      <formula>0.751</formula>
    </cfRule>
    <cfRule type="cellIs" dxfId="4037" priority="615" operator="between">
      <formula>0.71251</formula>
      <formula>0.75</formula>
    </cfRule>
    <cfRule type="cellIs" dxfId="4036" priority="616" stopIfTrue="1" operator="between">
      <formula>0</formula>
      <formula>0.375</formula>
    </cfRule>
  </conditionalFormatting>
  <conditionalFormatting sqref="U222:V222">
    <cfRule type="cellIs" dxfId="4035" priority="607" operator="between">
      <formula>0.376</formula>
      <formula>0.475</formula>
    </cfRule>
    <cfRule type="cellIs" dxfId="4034" priority="608" operator="between">
      <formula>0.2551</formula>
      <formula>0.3751</formula>
    </cfRule>
    <cfRule type="cellIs" dxfId="4033" priority="609" operator="greaterThan">
      <formula>0.505</formula>
    </cfRule>
    <cfRule type="cellIs" dxfId="4032" priority="610" operator="between">
      <formula>0.48</formula>
      <formula>0.5</formula>
    </cfRule>
    <cfRule type="cellIs" dxfId="4031" priority="611" stopIfTrue="1" operator="between">
      <formula>0</formula>
      <formula>0.255</formula>
    </cfRule>
  </conditionalFormatting>
  <conditionalFormatting sqref="AG222">
    <cfRule type="cellIs" dxfId="4030" priority="602" operator="between">
      <formula>0.76</formula>
      <formula>0.95</formula>
    </cfRule>
    <cfRule type="cellIs" dxfId="4029" priority="603" operator="between">
      <formula>0.51</formula>
      <formula>0.75</formula>
    </cfRule>
    <cfRule type="cellIs" dxfId="4028" priority="604" operator="greaterThan">
      <formula>1</formula>
    </cfRule>
    <cfRule type="cellIs" dxfId="4027" priority="605" operator="between">
      <formula>0.95</formula>
      <formula>1</formula>
    </cfRule>
    <cfRule type="cellIs" dxfId="4026" priority="606" stopIfTrue="1" operator="between">
      <formula>0</formula>
      <formula>0.5</formula>
    </cfRule>
  </conditionalFormatting>
  <conditionalFormatting sqref="T227">
    <cfRule type="cellIs" dxfId="4025" priority="591" operator="between">
      <formula>0.3751</formula>
      <formula>0.475</formula>
    </cfRule>
    <cfRule type="cellIs" dxfId="4024" priority="592" operator="between">
      <formula>0.2551</formula>
      <formula>0.375</formula>
    </cfRule>
    <cfRule type="cellIs" dxfId="4023" priority="593" operator="greaterThan">
      <formula>0.505</formula>
    </cfRule>
    <cfRule type="cellIs" dxfId="4022" priority="594" operator="between">
      <formula>0.48</formula>
      <formula>0.5</formula>
    </cfRule>
    <cfRule type="cellIs" dxfId="4021" priority="595" stopIfTrue="1" operator="between">
      <formula>0</formula>
      <formula>0.255</formula>
    </cfRule>
  </conditionalFormatting>
  <conditionalFormatting sqref="U227:V227">
    <cfRule type="cellIs" dxfId="4020" priority="586" operator="between">
      <formula>0.376</formula>
      <formula>0.475</formula>
    </cfRule>
    <cfRule type="cellIs" dxfId="4019" priority="587" operator="between">
      <formula>0.2551</formula>
      <formula>0.3751</formula>
    </cfRule>
    <cfRule type="cellIs" dxfId="4018" priority="588" operator="greaterThan">
      <formula>0.505</formula>
    </cfRule>
    <cfRule type="cellIs" dxfId="4017" priority="589" operator="between">
      <formula>0.48</formula>
      <formula>0.5</formula>
    </cfRule>
    <cfRule type="cellIs" dxfId="4016" priority="590" stopIfTrue="1" operator="between">
      <formula>0</formula>
      <formula>0.255</formula>
    </cfRule>
  </conditionalFormatting>
  <conditionalFormatting sqref="AA227:AC227">
    <cfRule type="cellIs" dxfId="4015" priority="581" operator="between">
      <formula>0.56251</formula>
      <formula>0.7125</formula>
    </cfRule>
    <cfRule type="cellIs" dxfId="4014" priority="582" operator="between">
      <formula>0.3751</formula>
      <formula>0.5625</formula>
    </cfRule>
    <cfRule type="cellIs" dxfId="4013" priority="583" operator="greaterThan">
      <formula>0.751</formula>
    </cfRule>
    <cfRule type="cellIs" dxfId="4012" priority="584" operator="between">
      <formula>0.71251</formula>
      <formula>0.75</formula>
    </cfRule>
    <cfRule type="cellIs" dxfId="4011" priority="585" stopIfTrue="1" operator="between">
      <formula>0</formula>
      <formula>0.375</formula>
    </cfRule>
  </conditionalFormatting>
  <conditionalFormatting sqref="AH227:AI227">
    <cfRule type="cellIs" dxfId="4010" priority="576" operator="between">
      <formula>0.76</formula>
      <formula>0.95</formula>
    </cfRule>
    <cfRule type="cellIs" dxfId="4009" priority="577" operator="between">
      <formula>0.51</formula>
      <formula>0.75</formula>
    </cfRule>
    <cfRule type="cellIs" dxfId="4008" priority="578" operator="greaterThan">
      <formula>1</formula>
    </cfRule>
    <cfRule type="cellIs" dxfId="4007" priority="579" operator="between">
      <formula>0.95</formula>
      <formula>1</formula>
    </cfRule>
    <cfRule type="cellIs" dxfId="4006" priority="580" stopIfTrue="1" operator="between">
      <formula>0</formula>
      <formula>0.5</formula>
    </cfRule>
  </conditionalFormatting>
  <conditionalFormatting sqref="V231">
    <cfRule type="cellIs" dxfId="4005" priority="571" operator="between">
      <formula>0.376</formula>
      <formula>0.475</formula>
    </cfRule>
    <cfRule type="cellIs" dxfId="4004" priority="572" operator="between">
      <formula>0.2551</formula>
      <formula>0.3751</formula>
    </cfRule>
    <cfRule type="cellIs" dxfId="4003" priority="573" operator="greaterThan">
      <formula>0.505</formula>
    </cfRule>
    <cfRule type="cellIs" dxfId="4002" priority="574" operator="between">
      <formula>0.48</formula>
      <formula>0.5</formula>
    </cfRule>
    <cfRule type="cellIs" dxfId="4001" priority="575" stopIfTrue="1" operator="between">
      <formula>0</formula>
      <formula>0.255</formula>
    </cfRule>
  </conditionalFormatting>
  <conditionalFormatting sqref="V232">
    <cfRule type="cellIs" dxfId="4000" priority="566" operator="between">
      <formula>0.376</formula>
      <formula>0.475</formula>
    </cfRule>
    <cfRule type="cellIs" dxfId="3999" priority="567" operator="between">
      <formula>0.2551</formula>
      <formula>0.3751</formula>
    </cfRule>
    <cfRule type="cellIs" dxfId="3998" priority="568" operator="greaterThan">
      <formula>0.505</formula>
    </cfRule>
    <cfRule type="cellIs" dxfId="3997" priority="569" operator="between">
      <formula>0.48</formula>
      <formula>0.5</formula>
    </cfRule>
    <cfRule type="cellIs" dxfId="3996" priority="570" stopIfTrue="1" operator="between">
      <formula>0</formula>
      <formula>0.255</formula>
    </cfRule>
  </conditionalFormatting>
  <conditionalFormatting sqref="AC231">
    <cfRule type="cellIs" dxfId="3995" priority="561" operator="between">
      <formula>0.56251</formula>
      <formula>0.7125</formula>
    </cfRule>
    <cfRule type="cellIs" dxfId="3994" priority="562" operator="between">
      <formula>0.3751</formula>
      <formula>0.5625</formula>
    </cfRule>
    <cfRule type="cellIs" dxfId="3993" priority="563" operator="greaterThan">
      <formula>0.751</formula>
    </cfRule>
    <cfRule type="cellIs" dxfId="3992" priority="564" operator="between">
      <formula>0.71251</formula>
      <formula>0.75</formula>
    </cfRule>
    <cfRule type="cellIs" dxfId="3991" priority="565" stopIfTrue="1" operator="between">
      <formula>0</formula>
      <formula>0.375</formula>
    </cfRule>
  </conditionalFormatting>
  <conditionalFormatting sqref="AC232">
    <cfRule type="cellIs" dxfId="3990" priority="556" operator="between">
      <formula>0.56251</formula>
      <formula>0.7125</formula>
    </cfRule>
    <cfRule type="cellIs" dxfId="3989" priority="557" operator="between">
      <formula>0.3751</formula>
      <formula>0.5625</formula>
    </cfRule>
    <cfRule type="cellIs" dxfId="3988" priority="558" operator="greaterThan">
      <formula>0.751</formula>
    </cfRule>
    <cfRule type="cellIs" dxfId="3987" priority="559" operator="between">
      <formula>0.71251</formula>
      <formula>0.75</formula>
    </cfRule>
    <cfRule type="cellIs" dxfId="3986" priority="560" stopIfTrue="1" operator="between">
      <formula>0</formula>
      <formula>0.375</formula>
    </cfRule>
  </conditionalFormatting>
  <conditionalFormatting sqref="T237">
    <cfRule type="cellIs" dxfId="3985" priority="551" operator="between">
      <formula>0.3751</formula>
      <formula>0.475</formula>
    </cfRule>
    <cfRule type="cellIs" dxfId="3984" priority="552" operator="between">
      <formula>0.2551</formula>
      <formula>0.375</formula>
    </cfRule>
    <cfRule type="cellIs" dxfId="3983" priority="553" operator="greaterThan">
      <formula>0.505</formula>
    </cfRule>
    <cfRule type="cellIs" dxfId="3982" priority="554" operator="between">
      <formula>0.48</formula>
      <formula>0.5</formula>
    </cfRule>
    <cfRule type="cellIs" dxfId="3981" priority="555" stopIfTrue="1" operator="between">
      <formula>0</formula>
      <formula>0.255</formula>
    </cfRule>
  </conditionalFormatting>
  <conditionalFormatting sqref="U237">
    <cfRule type="cellIs" dxfId="3980" priority="546" operator="between">
      <formula>0.376</formula>
      <formula>0.475</formula>
    </cfRule>
    <cfRule type="cellIs" dxfId="3979" priority="547" operator="between">
      <formula>0.2551</formula>
      <formula>0.3751</formula>
    </cfRule>
    <cfRule type="cellIs" dxfId="3978" priority="548" operator="greaterThan">
      <formula>0.505</formula>
    </cfRule>
    <cfRule type="cellIs" dxfId="3977" priority="549" operator="between">
      <formula>0.48</formula>
      <formula>0.5</formula>
    </cfRule>
    <cfRule type="cellIs" dxfId="3976" priority="550" stopIfTrue="1" operator="between">
      <formula>0</formula>
      <formula>0.255</formula>
    </cfRule>
  </conditionalFormatting>
  <conditionalFormatting sqref="T238">
    <cfRule type="cellIs" dxfId="3975" priority="541" operator="between">
      <formula>0.3751</formula>
      <formula>0.475</formula>
    </cfRule>
    <cfRule type="cellIs" dxfId="3974" priority="542" operator="between">
      <formula>0.2551</formula>
      <formula>0.375</formula>
    </cfRule>
    <cfRule type="cellIs" dxfId="3973" priority="543" operator="greaterThan">
      <formula>0.505</formula>
    </cfRule>
    <cfRule type="cellIs" dxfId="3972" priority="544" operator="between">
      <formula>0.48</formula>
      <formula>0.5</formula>
    </cfRule>
    <cfRule type="cellIs" dxfId="3971" priority="545" stopIfTrue="1" operator="between">
      <formula>0</formula>
      <formula>0.255</formula>
    </cfRule>
  </conditionalFormatting>
  <conditionalFormatting sqref="U238">
    <cfRule type="cellIs" dxfId="3970" priority="536" operator="between">
      <formula>0.376</formula>
      <formula>0.475</formula>
    </cfRule>
    <cfRule type="cellIs" dxfId="3969" priority="537" operator="between">
      <formula>0.2551</formula>
      <formula>0.3751</formula>
    </cfRule>
    <cfRule type="cellIs" dxfId="3968" priority="538" operator="greaterThan">
      <formula>0.505</formula>
    </cfRule>
    <cfRule type="cellIs" dxfId="3967" priority="539" operator="between">
      <formula>0.48</formula>
      <formula>0.5</formula>
    </cfRule>
    <cfRule type="cellIs" dxfId="3966" priority="540" stopIfTrue="1" operator="between">
      <formula>0</formula>
      <formula>0.255</formula>
    </cfRule>
  </conditionalFormatting>
  <conditionalFormatting sqref="Y237:Z237">
    <cfRule type="cellIs" dxfId="3965" priority="531" operator="between">
      <formula>0.76</formula>
      <formula>0.95</formula>
    </cfRule>
    <cfRule type="cellIs" dxfId="3964" priority="532" operator="between">
      <formula>0.51</formula>
      <formula>0.75</formula>
    </cfRule>
    <cfRule type="cellIs" dxfId="3963" priority="533" operator="greaterThan">
      <formula>1</formula>
    </cfRule>
    <cfRule type="cellIs" dxfId="3962" priority="534" operator="between">
      <formula>0.96</formula>
      <formula>1</formula>
    </cfRule>
    <cfRule type="cellIs" dxfId="3961" priority="535" stopIfTrue="1" operator="between">
      <formula>0</formula>
      <formula>0.5</formula>
    </cfRule>
  </conditionalFormatting>
  <conditionalFormatting sqref="AA237:AC237">
    <cfRule type="cellIs" dxfId="3960" priority="526" operator="between">
      <formula>0.56251</formula>
      <formula>0.7125</formula>
    </cfRule>
    <cfRule type="cellIs" dxfId="3959" priority="527" operator="between">
      <formula>0.3751</formula>
      <formula>0.5625</formula>
    </cfRule>
    <cfRule type="cellIs" dxfId="3958" priority="528" operator="greaterThan">
      <formula>0.751</formula>
    </cfRule>
    <cfRule type="cellIs" dxfId="3957" priority="529" operator="between">
      <formula>0.71251</formula>
      <formula>0.75</formula>
    </cfRule>
    <cfRule type="cellIs" dxfId="3956" priority="530" stopIfTrue="1" operator="between">
      <formula>0</formula>
      <formula>0.375</formula>
    </cfRule>
  </conditionalFormatting>
  <conditionalFormatting sqref="Z238">
    <cfRule type="cellIs" dxfId="3955" priority="521" operator="between">
      <formula>0.76</formula>
      <formula>0.95</formula>
    </cfRule>
    <cfRule type="cellIs" dxfId="3954" priority="522" operator="between">
      <formula>0.51</formula>
      <formula>0.75</formula>
    </cfRule>
    <cfRule type="cellIs" dxfId="3953" priority="523" operator="greaterThan">
      <formula>1</formula>
    </cfRule>
    <cfRule type="cellIs" dxfId="3952" priority="524" operator="between">
      <formula>0.95</formula>
      <formula>1</formula>
    </cfRule>
    <cfRule type="cellIs" dxfId="3951" priority="525" stopIfTrue="1" operator="between">
      <formula>0</formula>
      <formula>0.5</formula>
    </cfRule>
  </conditionalFormatting>
  <conditionalFormatting sqref="AA238:AB238">
    <cfRule type="cellIs" dxfId="3950" priority="516" operator="between">
      <formula>0.56251</formula>
      <formula>0.7125</formula>
    </cfRule>
    <cfRule type="cellIs" dxfId="3949" priority="517" operator="between">
      <formula>0.3751</formula>
      <formula>0.5625</formula>
    </cfRule>
    <cfRule type="cellIs" dxfId="3948" priority="518" operator="greaterThan">
      <formula>0.751</formula>
    </cfRule>
    <cfRule type="cellIs" dxfId="3947" priority="519" operator="between">
      <formula>0.71251</formula>
      <formula>0.75</formula>
    </cfRule>
    <cfRule type="cellIs" dxfId="3946" priority="520" stopIfTrue="1" operator="between">
      <formula>0</formula>
      <formula>0.375</formula>
    </cfRule>
  </conditionalFormatting>
  <conditionalFormatting sqref="S257">
    <cfRule type="cellIs" dxfId="3945" priority="511" operator="between">
      <formula>0.76</formula>
      <formula>0.95</formula>
    </cfRule>
    <cfRule type="cellIs" dxfId="3944" priority="512" operator="between">
      <formula>0.51</formula>
      <formula>0.75</formula>
    </cfRule>
    <cfRule type="cellIs" dxfId="3943" priority="513" operator="greaterThan">
      <formula>1</formula>
    </cfRule>
    <cfRule type="cellIs" dxfId="3942" priority="514" operator="between">
      <formula>0.95</formula>
      <formula>1</formula>
    </cfRule>
    <cfRule type="cellIs" dxfId="3941" priority="515" stopIfTrue="1" operator="between">
      <formula>0</formula>
      <formula>0.5</formula>
    </cfRule>
  </conditionalFormatting>
  <conditionalFormatting sqref="V257">
    <cfRule type="cellIs" dxfId="3940" priority="506" operator="between">
      <formula>0.376</formula>
      <formula>0.475</formula>
    </cfRule>
    <cfRule type="cellIs" dxfId="3939" priority="507" operator="between">
      <formula>0.2551</formula>
      <formula>0.3751</formula>
    </cfRule>
    <cfRule type="cellIs" dxfId="3938" priority="508" operator="greaterThan">
      <formula>0.505</formula>
    </cfRule>
    <cfRule type="cellIs" dxfId="3937" priority="509" operator="between">
      <formula>0.48</formula>
      <formula>0.5</formula>
    </cfRule>
    <cfRule type="cellIs" dxfId="3936" priority="510" stopIfTrue="1" operator="between">
      <formula>0</formula>
      <formula>0.255</formula>
    </cfRule>
  </conditionalFormatting>
  <conditionalFormatting sqref="Z258:Z260">
    <cfRule type="cellIs" dxfId="3935" priority="501" operator="between">
      <formula>0.76</formula>
      <formula>0.95</formula>
    </cfRule>
    <cfRule type="cellIs" dxfId="3934" priority="502" operator="between">
      <formula>0.51</formula>
      <formula>0.75</formula>
    </cfRule>
    <cfRule type="cellIs" dxfId="3933" priority="503" operator="greaterThan">
      <formula>1</formula>
    </cfRule>
    <cfRule type="cellIs" dxfId="3932" priority="504" operator="between">
      <formula>0.95</formula>
      <formula>1</formula>
    </cfRule>
    <cfRule type="cellIs" dxfId="3931" priority="505" stopIfTrue="1" operator="between">
      <formula>0</formula>
      <formula>0.5</formula>
    </cfRule>
  </conditionalFormatting>
  <conditionalFormatting sqref="Z262">
    <cfRule type="cellIs" dxfId="3930" priority="496" operator="between">
      <formula>0.76</formula>
      <formula>0.95</formula>
    </cfRule>
    <cfRule type="cellIs" dxfId="3929" priority="497" operator="between">
      <formula>0.51</formula>
      <formula>0.75</formula>
    </cfRule>
    <cfRule type="cellIs" dxfId="3928" priority="498" operator="greaterThan">
      <formula>1</formula>
    </cfRule>
    <cfRule type="cellIs" dxfId="3927" priority="499" operator="between">
      <formula>0.95</formula>
      <formula>1</formula>
    </cfRule>
    <cfRule type="cellIs" dxfId="3926" priority="500" stopIfTrue="1" operator="between">
      <formula>0</formula>
      <formula>0.5</formula>
    </cfRule>
  </conditionalFormatting>
  <conditionalFormatting sqref="AA262:AC262">
    <cfRule type="cellIs" dxfId="3925" priority="491" operator="between">
      <formula>0.56251</formula>
      <formula>0.7125</formula>
    </cfRule>
    <cfRule type="cellIs" dxfId="3924" priority="492" operator="between">
      <formula>0.3751</formula>
      <formula>0.5625</formula>
    </cfRule>
    <cfRule type="cellIs" dxfId="3923" priority="493" operator="greaterThan">
      <formula>0.751</formula>
    </cfRule>
    <cfRule type="cellIs" dxfId="3922" priority="494" operator="between">
      <formula>0.71251</formula>
      <formula>0.75</formula>
    </cfRule>
    <cfRule type="cellIs" dxfId="3921" priority="495" stopIfTrue="1" operator="between">
      <formula>0</formula>
      <formula>0.375</formula>
    </cfRule>
  </conditionalFormatting>
  <conditionalFormatting sqref="V280">
    <cfRule type="cellIs" dxfId="3920" priority="486" operator="between">
      <formula>0.376</formula>
      <formula>0.475</formula>
    </cfRule>
    <cfRule type="cellIs" dxfId="3919" priority="487" operator="between">
      <formula>0.2551</formula>
      <formula>0.3751</formula>
    </cfRule>
    <cfRule type="cellIs" dxfId="3918" priority="488" operator="greaterThan">
      <formula>0.505</formula>
    </cfRule>
    <cfRule type="cellIs" dxfId="3917" priority="489" operator="between">
      <formula>0.48</formula>
      <formula>0.5</formula>
    </cfRule>
    <cfRule type="cellIs" dxfId="3916" priority="490" stopIfTrue="1" operator="between">
      <formula>0</formula>
      <formula>0.255</formula>
    </cfRule>
  </conditionalFormatting>
  <conditionalFormatting sqref="AC280">
    <cfRule type="cellIs" dxfId="3915" priority="481" operator="between">
      <formula>0.56251</formula>
      <formula>0.7125</formula>
    </cfRule>
    <cfRule type="cellIs" dxfId="3914" priority="482" operator="between">
      <formula>0.3751</formula>
      <formula>0.5625</formula>
    </cfRule>
    <cfRule type="cellIs" dxfId="3913" priority="483" operator="greaterThan">
      <formula>0.751</formula>
    </cfRule>
    <cfRule type="cellIs" dxfId="3912" priority="484" operator="between">
      <formula>0.71251</formula>
      <formula>0.75</formula>
    </cfRule>
    <cfRule type="cellIs" dxfId="3911" priority="485" stopIfTrue="1" operator="between">
      <formula>0</formula>
      <formula>0.375</formula>
    </cfRule>
  </conditionalFormatting>
  <conditionalFormatting sqref="V285">
    <cfRule type="cellIs" dxfId="3910" priority="476" operator="between">
      <formula>0.376</formula>
      <formula>0.475</formula>
    </cfRule>
    <cfRule type="cellIs" dxfId="3909" priority="477" operator="between">
      <formula>0.2551</formula>
      <formula>0.3751</formula>
    </cfRule>
    <cfRule type="cellIs" dxfId="3908" priority="478" operator="greaterThan">
      <formula>0.505</formula>
    </cfRule>
    <cfRule type="cellIs" dxfId="3907" priority="479" operator="between">
      <formula>0.48</formula>
      <formula>0.5</formula>
    </cfRule>
    <cfRule type="cellIs" dxfId="3906" priority="480" stopIfTrue="1" operator="between">
      <formula>0</formula>
      <formula>0.255</formula>
    </cfRule>
  </conditionalFormatting>
  <conditionalFormatting sqref="AC285">
    <cfRule type="cellIs" dxfId="3905" priority="471" operator="between">
      <formula>0.56251</formula>
      <formula>0.7125</formula>
    </cfRule>
    <cfRule type="cellIs" dxfId="3904" priority="472" operator="between">
      <formula>0.3751</formula>
      <formula>0.5625</formula>
    </cfRule>
    <cfRule type="cellIs" dxfId="3903" priority="473" operator="greaterThan">
      <formula>0.751</formula>
    </cfRule>
    <cfRule type="cellIs" dxfId="3902" priority="474" operator="between">
      <formula>0.71251</formula>
      <formula>0.75</formula>
    </cfRule>
    <cfRule type="cellIs" dxfId="3901" priority="475" stopIfTrue="1" operator="between">
      <formula>0</formula>
      <formula>0.375</formula>
    </cfRule>
  </conditionalFormatting>
  <conditionalFormatting sqref="Z290">
    <cfRule type="cellIs" dxfId="3900" priority="466" operator="between">
      <formula>0.76</formula>
      <formula>0.95</formula>
    </cfRule>
    <cfRule type="cellIs" dxfId="3899" priority="467" operator="between">
      <formula>0.51</formula>
      <formula>0.75</formula>
    </cfRule>
    <cfRule type="cellIs" dxfId="3898" priority="468" operator="greaterThan">
      <formula>1</formula>
    </cfRule>
    <cfRule type="cellIs" dxfId="3897" priority="469" operator="between">
      <formula>0.95</formula>
      <formula>1</formula>
    </cfRule>
    <cfRule type="cellIs" dxfId="3896" priority="470" stopIfTrue="1" operator="between">
      <formula>0</formula>
      <formula>0.5</formula>
    </cfRule>
  </conditionalFormatting>
  <conditionalFormatting sqref="T304">
    <cfRule type="cellIs" dxfId="3895" priority="461" operator="between">
      <formula>0.3751</formula>
      <formula>0.475</formula>
    </cfRule>
    <cfRule type="cellIs" dxfId="3894" priority="462" operator="between">
      <formula>0.2551</formula>
      <formula>0.375</formula>
    </cfRule>
    <cfRule type="cellIs" dxfId="3893" priority="463" operator="greaterThan">
      <formula>0.505</formula>
    </cfRule>
    <cfRule type="cellIs" dxfId="3892" priority="464" operator="between">
      <formula>0.48</formula>
      <formula>0.5</formula>
    </cfRule>
    <cfRule type="cellIs" dxfId="3891" priority="465" stopIfTrue="1" operator="between">
      <formula>0</formula>
      <formula>0.255</formula>
    </cfRule>
  </conditionalFormatting>
  <conditionalFormatting sqref="U304">
    <cfRule type="cellIs" dxfId="3890" priority="456" operator="between">
      <formula>0.376</formula>
      <formula>0.475</formula>
    </cfRule>
    <cfRule type="cellIs" dxfId="3889" priority="457" operator="between">
      <formula>0.2551</formula>
      <formula>0.3751</formula>
    </cfRule>
    <cfRule type="cellIs" dxfId="3888" priority="458" operator="greaterThan">
      <formula>0.505</formula>
    </cfRule>
    <cfRule type="cellIs" dxfId="3887" priority="459" operator="between">
      <formula>0.48</formula>
      <formula>0.5</formula>
    </cfRule>
    <cfRule type="cellIs" dxfId="3886" priority="460" stopIfTrue="1" operator="between">
      <formula>0</formula>
      <formula>0.255</formula>
    </cfRule>
  </conditionalFormatting>
  <conditionalFormatting sqref="V304">
    <cfRule type="cellIs" dxfId="3885" priority="451" operator="between">
      <formula>0.376</formula>
      <formula>0.475</formula>
    </cfRule>
    <cfRule type="cellIs" dxfId="3884" priority="452" operator="between">
      <formula>0.2551</formula>
      <formula>0.3751</formula>
    </cfRule>
    <cfRule type="cellIs" dxfId="3883" priority="453" operator="greaterThan">
      <formula>0.505</formula>
    </cfRule>
    <cfRule type="cellIs" dxfId="3882" priority="454" operator="between">
      <formula>0.48</formula>
      <formula>0.5</formula>
    </cfRule>
    <cfRule type="cellIs" dxfId="3881" priority="455" stopIfTrue="1" operator="between">
      <formula>0</formula>
      <formula>0.255</formula>
    </cfRule>
  </conditionalFormatting>
  <conditionalFormatting sqref="S306">
    <cfRule type="cellIs" dxfId="3880" priority="446" operator="between">
      <formula>0.76</formula>
      <formula>0.95</formula>
    </cfRule>
    <cfRule type="cellIs" dxfId="3879" priority="447" operator="between">
      <formula>0.51</formula>
      <formula>0.75</formula>
    </cfRule>
    <cfRule type="cellIs" dxfId="3878" priority="448" operator="greaterThan">
      <formula>1</formula>
    </cfRule>
    <cfRule type="cellIs" dxfId="3877" priority="449" operator="between">
      <formula>0.95</formula>
      <formula>1</formula>
    </cfRule>
    <cfRule type="cellIs" dxfId="3876" priority="450" stopIfTrue="1" operator="between">
      <formula>0</formula>
      <formula>0.5</formula>
    </cfRule>
  </conditionalFormatting>
  <conditionalFormatting sqref="AG306">
    <cfRule type="cellIs" dxfId="3875" priority="441" operator="between">
      <formula>0.76</formula>
      <formula>0.95</formula>
    </cfRule>
    <cfRule type="cellIs" dxfId="3874" priority="442" operator="between">
      <formula>0.51</formula>
      <formula>0.75</formula>
    </cfRule>
    <cfRule type="cellIs" dxfId="3873" priority="443" operator="greaterThan">
      <formula>1</formula>
    </cfRule>
    <cfRule type="cellIs" dxfId="3872" priority="444" operator="between">
      <formula>0.95</formula>
      <formula>1</formula>
    </cfRule>
    <cfRule type="cellIs" dxfId="3871" priority="445" stopIfTrue="1" operator="between">
      <formula>0</formula>
      <formula>0.5</formula>
    </cfRule>
  </conditionalFormatting>
  <conditionalFormatting sqref="V307">
    <cfRule type="cellIs" dxfId="3870" priority="436" operator="between">
      <formula>0.376</formula>
      <formula>0.475</formula>
    </cfRule>
    <cfRule type="cellIs" dxfId="3869" priority="437" operator="between">
      <formula>0.2551</formula>
      <formula>0.3751</formula>
    </cfRule>
    <cfRule type="cellIs" dxfId="3868" priority="438" operator="greaterThan">
      <formula>0.505</formula>
    </cfRule>
    <cfRule type="cellIs" dxfId="3867" priority="439" operator="between">
      <formula>0.48</formula>
      <formula>0.5</formula>
    </cfRule>
    <cfRule type="cellIs" dxfId="3866" priority="440" stopIfTrue="1" operator="between">
      <formula>0</formula>
      <formula>0.255</formula>
    </cfRule>
  </conditionalFormatting>
  <conditionalFormatting sqref="AA307">
    <cfRule type="cellIs" dxfId="3865" priority="431" operator="between">
      <formula>0.56251</formula>
      <formula>0.7125</formula>
    </cfRule>
    <cfRule type="cellIs" dxfId="3864" priority="432" operator="between">
      <formula>0.3751</formula>
      <formula>0.5625</formula>
    </cfRule>
    <cfRule type="cellIs" dxfId="3863" priority="433" operator="greaterThan">
      <formula>0.751</formula>
    </cfRule>
    <cfRule type="cellIs" dxfId="3862" priority="434" operator="between">
      <formula>0.71251</formula>
      <formula>0.75</formula>
    </cfRule>
    <cfRule type="cellIs" dxfId="3861" priority="435" stopIfTrue="1" operator="between">
      <formula>0</formula>
      <formula>0.375</formula>
    </cfRule>
  </conditionalFormatting>
  <conditionalFormatting sqref="AC307">
    <cfRule type="cellIs" dxfId="3860" priority="426" operator="between">
      <formula>0.56251</formula>
      <formula>0.7125</formula>
    </cfRule>
    <cfRule type="cellIs" dxfId="3859" priority="427" operator="between">
      <formula>0.3751</formula>
      <formula>0.5625</formula>
    </cfRule>
    <cfRule type="cellIs" dxfId="3858" priority="428" operator="greaterThan">
      <formula>0.751</formula>
    </cfRule>
    <cfRule type="cellIs" dxfId="3857" priority="429" operator="between">
      <formula>0.71251</formula>
      <formula>0.75</formula>
    </cfRule>
    <cfRule type="cellIs" dxfId="3856" priority="430" stopIfTrue="1" operator="between">
      <formula>0</formula>
      <formula>0.375</formula>
    </cfRule>
  </conditionalFormatting>
  <conditionalFormatting sqref="AB307">
    <cfRule type="cellIs" dxfId="3855" priority="421" operator="between">
      <formula>0.56251</formula>
      <formula>0.7125</formula>
    </cfRule>
    <cfRule type="cellIs" dxfId="3854" priority="422" operator="between">
      <formula>0.3751</formula>
      <formula>0.5625</formula>
    </cfRule>
    <cfRule type="cellIs" dxfId="3853" priority="423" operator="greaterThan">
      <formula>0.751</formula>
    </cfRule>
    <cfRule type="cellIs" dxfId="3852" priority="424" operator="between">
      <formula>0.71251</formula>
      <formula>0.75</formula>
    </cfRule>
    <cfRule type="cellIs" dxfId="3851" priority="425" stopIfTrue="1" operator="between">
      <formula>0</formula>
      <formula>0.375</formula>
    </cfRule>
  </conditionalFormatting>
  <conditionalFormatting sqref="AI307">
    <cfRule type="cellIs" dxfId="3850" priority="416" operator="between">
      <formula>0.76</formula>
      <formula>0.95</formula>
    </cfRule>
    <cfRule type="cellIs" dxfId="3849" priority="417" operator="between">
      <formula>0.51</formula>
      <formula>0.75</formula>
    </cfRule>
    <cfRule type="cellIs" dxfId="3848" priority="418" operator="greaterThan">
      <formula>1</formula>
    </cfRule>
    <cfRule type="cellIs" dxfId="3847" priority="419" operator="between">
      <formula>0.95</formula>
      <formula>1</formula>
    </cfRule>
    <cfRule type="cellIs" dxfId="3846" priority="420" stopIfTrue="1" operator="between">
      <formula>0</formula>
      <formula>0.5</formula>
    </cfRule>
  </conditionalFormatting>
  <conditionalFormatting sqref="AH307">
    <cfRule type="cellIs" dxfId="3845" priority="411" operator="between">
      <formula>0.76</formula>
      <formula>0.95</formula>
    </cfRule>
    <cfRule type="cellIs" dxfId="3844" priority="412" operator="between">
      <formula>0.51</formula>
      <formula>0.75</formula>
    </cfRule>
    <cfRule type="cellIs" dxfId="3843" priority="413" operator="greaterThan">
      <formula>1</formula>
    </cfRule>
    <cfRule type="cellIs" dxfId="3842" priority="414" operator="between">
      <formula>0.95</formula>
      <formula>1</formula>
    </cfRule>
    <cfRule type="cellIs" dxfId="3841" priority="415" stopIfTrue="1" operator="between">
      <formula>0</formula>
      <formula>0.5</formula>
    </cfRule>
  </conditionalFormatting>
  <conditionalFormatting sqref="AG353">
    <cfRule type="cellIs" dxfId="3840" priority="406" operator="between">
      <formula>0.76</formula>
      <formula>0.95</formula>
    </cfRule>
    <cfRule type="cellIs" dxfId="3839" priority="407" operator="between">
      <formula>0.51</formula>
      <formula>0.75</formula>
    </cfRule>
    <cfRule type="cellIs" dxfId="3838" priority="408" operator="greaterThan">
      <formula>1</formula>
    </cfRule>
    <cfRule type="cellIs" dxfId="3837" priority="409" operator="between">
      <formula>0.95</formula>
      <formula>1</formula>
    </cfRule>
    <cfRule type="cellIs" dxfId="3836" priority="410" stopIfTrue="1" operator="between">
      <formula>0</formula>
      <formula>0.5</formula>
    </cfRule>
  </conditionalFormatting>
  <conditionalFormatting sqref="AG356">
    <cfRule type="cellIs" dxfId="3835" priority="401" operator="between">
      <formula>0.76</formula>
      <formula>0.95</formula>
    </cfRule>
    <cfRule type="cellIs" dxfId="3834" priority="402" operator="between">
      <formula>0.51</formula>
      <formula>0.75</formula>
    </cfRule>
    <cfRule type="cellIs" dxfId="3833" priority="403" operator="greaterThan">
      <formula>1</formula>
    </cfRule>
    <cfRule type="cellIs" dxfId="3832" priority="404" operator="between">
      <formula>0.95</formula>
      <formula>1</formula>
    </cfRule>
    <cfRule type="cellIs" dxfId="3831" priority="405" stopIfTrue="1" operator="between">
      <formula>0</formula>
      <formula>0.5</formula>
    </cfRule>
  </conditionalFormatting>
  <conditionalFormatting sqref="T203">
    <cfRule type="cellIs" dxfId="3830" priority="396" operator="between">
      <formula>0.3751</formula>
      <formula>0.475</formula>
    </cfRule>
    <cfRule type="cellIs" dxfId="3829" priority="397" operator="between">
      <formula>0.2551</formula>
      <formula>0.375</formula>
    </cfRule>
    <cfRule type="cellIs" dxfId="3828" priority="398" operator="greaterThan">
      <formula>0.505</formula>
    </cfRule>
    <cfRule type="cellIs" dxfId="3827" priority="399" operator="between">
      <formula>0.48</formula>
      <formula>0.5</formula>
    </cfRule>
    <cfRule type="cellIs" dxfId="3826" priority="400" stopIfTrue="1" operator="between">
      <formula>0</formula>
      <formula>0.255</formula>
    </cfRule>
  </conditionalFormatting>
  <conditionalFormatting sqref="U203:V203">
    <cfRule type="cellIs" dxfId="3825" priority="391" operator="between">
      <formula>0.376</formula>
      <formula>0.475</formula>
    </cfRule>
    <cfRule type="cellIs" dxfId="3824" priority="392" operator="between">
      <formula>0.2551</formula>
      <formula>0.3751</formula>
    </cfRule>
    <cfRule type="cellIs" dxfId="3823" priority="393" operator="greaterThan">
      <formula>0.505</formula>
    </cfRule>
    <cfRule type="cellIs" dxfId="3822" priority="394" operator="between">
      <formula>0.48</formula>
      <formula>0.5</formula>
    </cfRule>
    <cfRule type="cellIs" dxfId="3821" priority="395" stopIfTrue="1" operator="between">
      <formula>0</formula>
      <formula>0.255</formula>
    </cfRule>
  </conditionalFormatting>
  <conditionalFormatting sqref="N362:O362">
    <cfRule type="cellIs" dxfId="3820" priority="381" operator="between">
      <formula>0.1876</formula>
      <formula>0.2375</formula>
    </cfRule>
    <cfRule type="cellIs" dxfId="3819" priority="382" operator="between">
      <formula>0.1251</formula>
      <formula>0.1875</formula>
    </cfRule>
    <cfRule type="cellIs" dxfId="3818" priority="383" operator="greaterThan">
      <formula>0.25</formula>
    </cfRule>
    <cfRule type="cellIs" dxfId="3817" priority="384" operator="between">
      <formula>0.2376</formula>
      <formula>0.25</formula>
    </cfRule>
    <cfRule type="cellIs" dxfId="3816" priority="385" stopIfTrue="1" operator="between">
      <formula>0</formula>
      <formula>0.25</formula>
    </cfRule>
  </conditionalFormatting>
  <conditionalFormatting sqref="N363:O363">
    <cfRule type="cellIs" dxfId="3815" priority="376" operator="between">
      <formula>0.1876</formula>
      <formula>0.2375</formula>
    </cfRule>
    <cfRule type="cellIs" dxfId="3814" priority="377" operator="between">
      <formula>0.1251</formula>
      <formula>0.1875</formula>
    </cfRule>
    <cfRule type="cellIs" dxfId="3813" priority="378" operator="greaterThan">
      <formula>0.25</formula>
    </cfRule>
    <cfRule type="cellIs" dxfId="3812" priority="379" operator="between">
      <formula>0.2376</formula>
      <formula>0.25</formula>
    </cfRule>
    <cfRule type="cellIs" dxfId="3811" priority="380" stopIfTrue="1" operator="between">
      <formula>0</formula>
      <formula>0.25</formula>
    </cfRule>
  </conditionalFormatting>
  <conditionalFormatting sqref="S362">
    <cfRule type="cellIs" dxfId="3810" priority="371" operator="between">
      <formula>0.76</formula>
      <formula>0.95</formula>
    </cfRule>
    <cfRule type="cellIs" dxfId="3809" priority="372" operator="between">
      <formula>0.51</formula>
      <formula>0.75</formula>
    </cfRule>
    <cfRule type="cellIs" dxfId="3808" priority="373" operator="greaterThan">
      <formula>1</formula>
    </cfRule>
    <cfRule type="cellIs" dxfId="3807" priority="374" operator="between">
      <formula>0.95</formula>
      <formula>1</formula>
    </cfRule>
    <cfRule type="cellIs" dxfId="3806" priority="375" stopIfTrue="1" operator="between">
      <formula>0</formula>
      <formula>0.5</formula>
    </cfRule>
  </conditionalFormatting>
  <conditionalFormatting sqref="U362:V362">
    <cfRule type="cellIs" dxfId="3805" priority="366" operator="between">
      <formula>0.37505</formula>
      <formula>0.475</formula>
    </cfRule>
    <cfRule type="cellIs" dxfId="3804" priority="367" operator="between">
      <formula>0.2505</formula>
      <formula>0.375</formula>
    </cfRule>
    <cfRule type="cellIs" dxfId="3803" priority="368" operator="greaterThan">
      <formula>0.505</formula>
    </cfRule>
    <cfRule type="cellIs" dxfId="3802" priority="369" operator="between">
      <formula>0.47505</formula>
      <formula>0.5</formula>
    </cfRule>
    <cfRule type="cellIs" dxfId="3801" priority="370" stopIfTrue="1" operator="between">
      <formula>0</formula>
      <formula>0.25</formula>
    </cfRule>
  </conditionalFormatting>
  <conditionalFormatting sqref="S363">
    <cfRule type="cellIs" dxfId="3800" priority="361" operator="between">
      <formula>0.76</formula>
      <formula>0.95</formula>
    </cfRule>
    <cfRule type="cellIs" dxfId="3799" priority="362" operator="between">
      <formula>0.51</formula>
      <formula>0.75</formula>
    </cfRule>
    <cfRule type="cellIs" dxfId="3798" priority="363" operator="greaterThan">
      <formula>1</formula>
    </cfRule>
    <cfRule type="cellIs" dxfId="3797" priority="364" operator="between">
      <formula>0.95</formula>
      <formula>1</formula>
    </cfRule>
    <cfRule type="cellIs" dxfId="3796" priority="365" stopIfTrue="1" operator="between">
      <formula>0</formula>
      <formula>0.5</formula>
    </cfRule>
  </conditionalFormatting>
  <conditionalFormatting sqref="T363">
    <cfRule type="cellIs" dxfId="3795" priority="356" operator="between">
      <formula>0.37505</formula>
      <formula>0.475</formula>
    </cfRule>
    <cfRule type="cellIs" dxfId="3794" priority="357" operator="between">
      <formula>0.2505</formula>
      <formula>0.375</formula>
    </cfRule>
    <cfRule type="cellIs" dxfId="3793" priority="358" operator="greaterThan">
      <formula>0.505</formula>
    </cfRule>
    <cfRule type="cellIs" dxfId="3792" priority="359" operator="between">
      <formula>0.47505</formula>
      <formula>0.5</formula>
    </cfRule>
    <cfRule type="cellIs" dxfId="3791" priority="360" stopIfTrue="1" operator="between">
      <formula>0</formula>
      <formula>0.25</formula>
    </cfRule>
  </conditionalFormatting>
  <conditionalFormatting sqref="U363:V363">
    <cfRule type="cellIs" dxfId="3790" priority="346" operator="between">
      <formula>0.37505</formula>
      <formula>0.475</formula>
    </cfRule>
    <cfRule type="cellIs" dxfId="3789" priority="347" operator="between">
      <formula>0.2505</formula>
      <formula>0.375</formula>
    </cfRule>
    <cfRule type="cellIs" dxfId="3788" priority="348" operator="greaterThan">
      <formula>0.505</formula>
    </cfRule>
    <cfRule type="cellIs" dxfId="3787" priority="349" operator="between">
      <formula>0.47505</formula>
      <formula>0.5</formula>
    </cfRule>
    <cfRule type="cellIs" dxfId="3786" priority="350" stopIfTrue="1" operator="between">
      <formula>0</formula>
      <formula>0.25</formula>
    </cfRule>
  </conditionalFormatting>
  <conditionalFormatting sqref="S167">
    <cfRule type="cellIs" dxfId="3785" priority="336" operator="between">
      <formula>0.76</formula>
      <formula>0.95</formula>
    </cfRule>
    <cfRule type="cellIs" dxfId="3784" priority="337" operator="between">
      <formula>0.51</formula>
      <formula>0.75</formula>
    </cfRule>
    <cfRule type="cellIs" dxfId="3783" priority="338" operator="greaterThan">
      <formula>1</formula>
    </cfRule>
    <cfRule type="cellIs" dxfId="3782" priority="339" operator="between">
      <formula>0.96</formula>
      <formula>1</formula>
    </cfRule>
    <cfRule type="cellIs" dxfId="3781" priority="340" stopIfTrue="1" operator="between">
      <formula>0</formula>
      <formula>0.5</formula>
    </cfRule>
  </conditionalFormatting>
  <conditionalFormatting sqref="V167">
    <cfRule type="cellIs" dxfId="3780" priority="331" operator="between">
      <formula>0.376</formula>
      <formula>0.475</formula>
    </cfRule>
    <cfRule type="cellIs" dxfId="3779" priority="332" operator="between">
      <formula>0.2551</formula>
      <formula>0.3751</formula>
    </cfRule>
    <cfRule type="cellIs" dxfId="3778" priority="333" operator="greaterThan">
      <formula>0.505</formula>
    </cfRule>
    <cfRule type="cellIs" dxfId="3777" priority="334" operator="between">
      <formula>0.48</formula>
      <formula>0.5</formula>
    </cfRule>
    <cfRule type="cellIs" dxfId="3776" priority="335" stopIfTrue="1" operator="between">
      <formula>0</formula>
      <formula>0.255</formula>
    </cfRule>
  </conditionalFormatting>
  <conditionalFormatting sqref="Z178">
    <cfRule type="cellIs" dxfId="3775" priority="326" operator="between">
      <formula>0.76</formula>
      <formula>0.95</formula>
    </cfRule>
    <cfRule type="cellIs" dxfId="3774" priority="327" operator="between">
      <formula>0.51</formula>
      <formula>0.75</formula>
    </cfRule>
    <cfRule type="cellIs" dxfId="3773" priority="328" operator="greaterThan">
      <formula>1</formula>
    </cfRule>
    <cfRule type="cellIs" dxfId="3772" priority="329" operator="between">
      <formula>0.96</formula>
      <formula>1</formula>
    </cfRule>
    <cfRule type="cellIs" dxfId="3771" priority="330" stopIfTrue="1" operator="between">
      <formula>0</formula>
      <formula>0.5</formula>
    </cfRule>
  </conditionalFormatting>
  <conditionalFormatting sqref="T130">
    <cfRule type="cellIs" dxfId="3770" priority="321" operator="between">
      <formula>0.3751</formula>
      <formula>0.475</formula>
    </cfRule>
    <cfRule type="cellIs" dxfId="3769" priority="322" operator="between">
      <formula>0.2551</formula>
      <formula>0.375</formula>
    </cfRule>
    <cfRule type="cellIs" dxfId="3768" priority="323" operator="greaterThan">
      <formula>0.505</formula>
    </cfRule>
    <cfRule type="cellIs" dxfId="3767" priority="324" operator="between">
      <formula>0.48</formula>
      <formula>0.5</formula>
    </cfRule>
    <cfRule type="cellIs" dxfId="3766" priority="325" stopIfTrue="1" operator="between">
      <formula>0</formula>
      <formula>0.255</formula>
    </cfRule>
  </conditionalFormatting>
  <conditionalFormatting sqref="U130:V130">
    <cfRule type="cellIs" dxfId="3765" priority="316" operator="between">
      <formula>0.376</formula>
      <formula>0.475</formula>
    </cfRule>
    <cfRule type="cellIs" dxfId="3764" priority="317" operator="between">
      <formula>0.2551</formula>
      <formula>0.3751</formula>
    </cfRule>
    <cfRule type="cellIs" dxfId="3763" priority="318" operator="greaterThan">
      <formula>0.505</formula>
    </cfRule>
    <cfRule type="cellIs" dxfId="3762" priority="319" operator="between">
      <formula>0.48</formula>
      <formula>0.5</formula>
    </cfRule>
    <cfRule type="cellIs" dxfId="3761" priority="320" stopIfTrue="1" operator="between">
      <formula>0</formula>
      <formula>0.255</formula>
    </cfRule>
  </conditionalFormatting>
  <conditionalFormatting sqref="T360">
    <cfRule type="cellIs" dxfId="3760" priority="311" operator="between">
      <formula>0.3751</formula>
      <formula>0.475</formula>
    </cfRule>
    <cfRule type="cellIs" dxfId="3759" priority="312" operator="between">
      <formula>0.2551</formula>
      <formula>0.375</formula>
    </cfRule>
    <cfRule type="cellIs" dxfId="3758" priority="313" operator="greaterThan">
      <formula>0.505</formula>
    </cfRule>
    <cfRule type="cellIs" dxfId="3757" priority="314" operator="between">
      <formula>0.48</formula>
      <formula>0.5</formula>
    </cfRule>
    <cfRule type="cellIs" dxfId="3756" priority="315" stopIfTrue="1" operator="between">
      <formula>0</formula>
      <formula>0.255</formula>
    </cfRule>
  </conditionalFormatting>
  <conditionalFormatting sqref="U360">
    <cfRule type="cellIs" dxfId="3755" priority="306" operator="between">
      <formula>0.376</formula>
      <formula>0.475</formula>
    </cfRule>
    <cfRule type="cellIs" dxfId="3754" priority="307" operator="between">
      <formula>0.2551</formula>
      <formula>0.3751</formula>
    </cfRule>
    <cfRule type="cellIs" dxfId="3753" priority="308" operator="greaterThan">
      <formula>0.505</formula>
    </cfRule>
    <cfRule type="cellIs" dxfId="3752" priority="309" operator="between">
      <formula>0.48</formula>
      <formula>0.5</formula>
    </cfRule>
    <cfRule type="cellIs" dxfId="3751" priority="310" stopIfTrue="1" operator="between">
      <formula>0</formula>
      <formula>0.255</formula>
    </cfRule>
  </conditionalFormatting>
  <conditionalFormatting sqref="V360">
    <cfRule type="cellIs" dxfId="3750" priority="301" operator="between">
      <formula>0.376</formula>
      <formula>0.475</formula>
    </cfRule>
    <cfRule type="cellIs" dxfId="3749" priority="302" operator="between">
      <formula>0.2551</formula>
      <formula>0.3751</formula>
    </cfRule>
    <cfRule type="cellIs" dxfId="3748" priority="303" operator="greaterThan">
      <formula>0.505</formula>
    </cfRule>
    <cfRule type="cellIs" dxfId="3747" priority="304" operator="between">
      <formula>0.48</formula>
      <formula>0.5</formula>
    </cfRule>
    <cfRule type="cellIs" dxfId="3746" priority="305" stopIfTrue="1" operator="between">
      <formula>0</formula>
      <formula>0.255</formula>
    </cfRule>
  </conditionalFormatting>
  <conditionalFormatting sqref="L132">
    <cfRule type="cellIs" dxfId="3745" priority="296" operator="between">
      <formula>0.76</formula>
      <formula>0.95</formula>
    </cfRule>
    <cfRule type="cellIs" dxfId="3744" priority="297" operator="between">
      <formula>0.51</formula>
      <formula>0.75</formula>
    </cfRule>
    <cfRule type="cellIs" dxfId="3743" priority="298" operator="greaterThan">
      <formula>1</formula>
    </cfRule>
    <cfRule type="cellIs" dxfId="3742" priority="299" operator="between">
      <formula>0.96</formula>
      <formula>1</formula>
    </cfRule>
    <cfRule type="cellIs" dxfId="3741" priority="300" stopIfTrue="1" operator="between">
      <formula>0</formula>
      <formula>0.5</formula>
    </cfRule>
  </conditionalFormatting>
  <conditionalFormatting sqref="K132">
    <cfRule type="cellIs" dxfId="3740" priority="291" operator="between">
      <formula>0.76</formula>
      <formula>0.95</formula>
    </cfRule>
    <cfRule type="cellIs" dxfId="3739" priority="292" operator="between">
      <formula>0.51</formula>
      <formula>0.75</formula>
    </cfRule>
    <cfRule type="cellIs" dxfId="3738" priority="293" operator="greaterThan">
      <formula>1</formula>
    </cfRule>
    <cfRule type="cellIs" dxfId="3737" priority="294" operator="between">
      <formula>0.96</formula>
      <formula>1</formula>
    </cfRule>
    <cfRule type="cellIs" dxfId="3736" priority="295" stopIfTrue="1" operator="between">
      <formula>0</formula>
      <formula>0.5</formula>
    </cfRule>
  </conditionalFormatting>
  <conditionalFormatting sqref="O132">
    <cfRule type="cellIs" dxfId="3735" priority="286" operator="between">
      <formula>0.1876</formula>
      <formula>0.2375</formula>
    </cfRule>
    <cfRule type="cellIs" dxfId="3734" priority="287" operator="between">
      <formula>0.1251</formula>
      <formula>0.1875</formula>
    </cfRule>
    <cfRule type="cellIs" dxfId="3733" priority="288" operator="greaterThan">
      <formula>0.25</formula>
    </cfRule>
    <cfRule type="cellIs" dxfId="3732" priority="289" operator="between">
      <formula>0.2375</formula>
      <formula>0.25</formula>
    </cfRule>
    <cfRule type="cellIs" dxfId="3731" priority="290" stopIfTrue="1" operator="between">
      <formula>0</formula>
      <formula>0.125</formula>
    </cfRule>
  </conditionalFormatting>
  <conditionalFormatting sqref="M132:N132">
    <cfRule type="cellIs" dxfId="3730" priority="281" operator="between">
      <formula>0.1876</formula>
      <formula>0.2375</formula>
    </cfRule>
    <cfRule type="cellIs" dxfId="3729" priority="282" operator="between">
      <formula>0.1251</formula>
      <formula>0.1875</formula>
    </cfRule>
    <cfRule type="cellIs" dxfId="3728" priority="283" operator="greaterThan">
      <formula>0.25</formula>
    </cfRule>
    <cfRule type="cellIs" dxfId="3727" priority="284" operator="between">
      <formula>0.2376</formula>
      <formula>0.25</formula>
    </cfRule>
    <cfRule type="cellIs" dxfId="3726" priority="285" stopIfTrue="1" operator="between">
      <formula>0</formula>
      <formula>0.125</formula>
    </cfRule>
  </conditionalFormatting>
  <conditionalFormatting sqref="K300:L300">
    <cfRule type="cellIs" dxfId="3725" priority="276" operator="between">
      <formula>0.76</formula>
      <formula>0.95</formula>
    </cfRule>
    <cfRule type="cellIs" dxfId="3724" priority="277" operator="between">
      <formula>0.51</formula>
      <formula>0.75</formula>
    </cfRule>
    <cfRule type="cellIs" dxfId="3723" priority="278" operator="greaterThan">
      <formula>1</formula>
    </cfRule>
    <cfRule type="cellIs" dxfId="3722" priority="279" operator="between">
      <formula>0.96</formula>
      <formula>1</formula>
    </cfRule>
    <cfRule type="cellIs" dxfId="3721" priority="280" stopIfTrue="1" operator="between">
      <formula>0</formula>
      <formula>0.5</formula>
    </cfRule>
  </conditionalFormatting>
  <conditionalFormatting sqref="O300">
    <cfRule type="cellIs" dxfId="3720" priority="271" operator="between">
      <formula>0.1876</formula>
      <formula>0.2375</formula>
    </cfRule>
    <cfRule type="cellIs" dxfId="3719" priority="272" operator="between">
      <formula>0.1251</formula>
      <formula>0.1875</formula>
    </cfRule>
    <cfRule type="cellIs" dxfId="3718" priority="273" operator="greaterThan">
      <formula>0.25</formula>
    </cfRule>
    <cfRule type="cellIs" dxfId="3717" priority="274" operator="between">
      <formula>0.2375</formula>
      <formula>0.25</formula>
    </cfRule>
    <cfRule type="cellIs" dxfId="3716" priority="275" stopIfTrue="1" operator="between">
      <formula>0</formula>
      <formula>0.125</formula>
    </cfRule>
  </conditionalFormatting>
  <conditionalFormatting sqref="M300:N300">
    <cfRule type="cellIs" dxfId="3715" priority="266" operator="between">
      <formula>0.1876</formula>
      <formula>0.2375</formula>
    </cfRule>
    <cfRule type="cellIs" dxfId="3714" priority="267" operator="between">
      <formula>0.1251</formula>
      <formula>0.1875</formula>
    </cfRule>
    <cfRule type="cellIs" dxfId="3713" priority="268" operator="greaterThan">
      <formula>0.25</formula>
    </cfRule>
    <cfRule type="cellIs" dxfId="3712" priority="269" operator="between">
      <formula>0.2376</formula>
      <formula>0.25</formula>
    </cfRule>
    <cfRule type="cellIs" dxfId="3711" priority="270" stopIfTrue="1" operator="between">
      <formula>0</formula>
      <formula>0.125</formula>
    </cfRule>
  </conditionalFormatting>
  <conditionalFormatting sqref="L361">
    <cfRule type="cellIs" dxfId="3710" priority="261" operator="between">
      <formula>0.7505</formula>
      <formula>0.95</formula>
    </cfRule>
    <cfRule type="cellIs" dxfId="3709" priority="262" operator="between">
      <formula>0.51</formula>
      <formula>0.75</formula>
    </cfRule>
    <cfRule type="cellIs" dxfId="3708" priority="263" operator="greaterThan">
      <formula>1</formula>
    </cfRule>
    <cfRule type="cellIs" dxfId="3707" priority="264" operator="between">
      <formula>0.96</formula>
      <formula>1</formula>
    </cfRule>
    <cfRule type="cellIs" dxfId="3706" priority="265" stopIfTrue="1" operator="between">
      <formula>0</formula>
      <formula>0.5</formula>
    </cfRule>
  </conditionalFormatting>
  <conditionalFormatting sqref="T154">
    <cfRule type="cellIs" dxfId="3705" priority="256" operator="between">
      <formula>0.3751</formula>
      <formula>0.475</formula>
    </cfRule>
    <cfRule type="cellIs" dxfId="3704" priority="257" operator="between">
      <formula>0.2551</formula>
      <formula>0.375</formula>
    </cfRule>
    <cfRule type="cellIs" dxfId="3703" priority="258" operator="greaterThan">
      <formula>0.505</formula>
    </cfRule>
    <cfRule type="cellIs" dxfId="3702" priority="259" operator="between">
      <formula>0.48</formula>
      <formula>0.5</formula>
    </cfRule>
    <cfRule type="cellIs" dxfId="3701" priority="260" stopIfTrue="1" operator="between">
      <formula>0</formula>
      <formula>0.255</formula>
    </cfRule>
  </conditionalFormatting>
  <conditionalFormatting sqref="U154">
    <cfRule type="cellIs" dxfId="3700" priority="251" operator="between">
      <formula>0.376</formula>
      <formula>0.475</formula>
    </cfRule>
    <cfRule type="cellIs" dxfId="3699" priority="252" operator="between">
      <formula>0.2551</formula>
      <formula>0.3751</formula>
    </cfRule>
    <cfRule type="cellIs" dxfId="3698" priority="253" operator="greaterThan">
      <formula>0.505</formula>
    </cfRule>
    <cfRule type="cellIs" dxfId="3697" priority="254" operator="between">
      <formula>0.48</formula>
      <formula>0.5</formula>
    </cfRule>
    <cfRule type="cellIs" dxfId="3696" priority="255" stopIfTrue="1" operator="between">
      <formula>0</formula>
      <formula>0.255</formula>
    </cfRule>
  </conditionalFormatting>
  <conditionalFormatting sqref="V154">
    <cfRule type="cellIs" dxfId="3695" priority="246" operator="between">
      <formula>0.376</formula>
      <formula>0.475</formula>
    </cfRule>
    <cfRule type="cellIs" dxfId="3694" priority="247" operator="between">
      <formula>0.2551</formula>
      <formula>0.3751</formula>
    </cfRule>
    <cfRule type="cellIs" dxfId="3693" priority="248" operator="greaterThan">
      <formula>0.505</formula>
    </cfRule>
    <cfRule type="cellIs" dxfId="3692" priority="249" operator="between">
      <formula>0.48</formula>
      <formula>0.5</formula>
    </cfRule>
    <cfRule type="cellIs" dxfId="3691" priority="250" stopIfTrue="1" operator="between">
      <formula>0</formula>
      <formula>0.255</formula>
    </cfRule>
  </conditionalFormatting>
  <conditionalFormatting sqref="AA154:AB154">
    <cfRule type="cellIs" dxfId="3690" priority="241" operator="between">
      <formula>0.56251</formula>
      <formula>0.7125</formula>
    </cfRule>
    <cfRule type="cellIs" dxfId="3689" priority="242" operator="between">
      <formula>0.3751</formula>
      <formula>0.5625</formula>
    </cfRule>
    <cfRule type="cellIs" dxfId="3688" priority="243" operator="greaterThan">
      <formula>0.751</formula>
    </cfRule>
    <cfRule type="cellIs" dxfId="3687" priority="244" operator="between">
      <formula>0.71251</formula>
      <formula>0.75</formula>
    </cfRule>
    <cfRule type="cellIs" dxfId="3686" priority="245" stopIfTrue="1" operator="between">
      <formula>0</formula>
      <formula>0.375</formula>
    </cfRule>
  </conditionalFormatting>
  <conditionalFormatting sqref="AC154">
    <cfRule type="cellIs" dxfId="3685" priority="236" operator="between">
      <formula>0.56251</formula>
      <formula>0.7125</formula>
    </cfRule>
    <cfRule type="cellIs" dxfId="3684" priority="237" operator="between">
      <formula>0.3751</formula>
      <formula>0.5625</formula>
    </cfRule>
    <cfRule type="cellIs" dxfId="3683" priority="238" operator="greaterThan">
      <formula>0.751</formula>
    </cfRule>
    <cfRule type="cellIs" dxfId="3682" priority="239" operator="between">
      <formula>0.71251</formula>
      <formula>0.75</formula>
    </cfRule>
    <cfRule type="cellIs" dxfId="3681" priority="240" stopIfTrue="1" operator="between">
      <formula>0</formula>
      <formula>0.375</formula>
    </cfRule>
  </conditionalFormatting>
  <conditionalFormatting sqref="T201">
    <cfRule type="cellIs" dxfId="3680" priority="231" operator="between">
      <formula>0.3751</formula>
      <formula>0.475</formula>
    </cfRule>
    <cfRule type="cellIs" dxfId="3679" priority="232" operator="between">
      <formula>0.2551</formula>
      <formula>0.375</formula>
    </cfRule>
    <cfRule type="cellIs" dxfId="3678" priority="233" operator="greaterThan">
      <formula>0.505</formula>
    </cfRule>
    <cfRule type="cellIs" dxfId="3677" priority="234" operator="between">
      <formula>0.48</formula>
      <formula>0.5</formula>
    </cfRule>
    <cfRule type="cellIs" dxfId="3676" priority="235" stopIfTrue="1" operator="between">
      <formula>0</formula>
      <formula>0.255</formula>
    </cfRule>
  </conditionalFormatting>
  <conditionalFormatting sqref="U201:V201">
    <cfRule type="cellIs" dxfId="3675" priority="226" operator="between">
      <formula>0.376</formula>
      <formula>0.475</formula>
    </cfRule>
    <cfRule type="cellIs" dxfId="3674" priority="227" operator="between">
      <formula>0.2551</formula>
      <formula>0.3751</formula>
    </cfRule>
    <cfRule type="cellIs" dxfId="3673" priority="228" operator="greaterThan">
      <formula>0.505</formula>
    </cfRule>
    <cfRule type="cellIs" dxfId="3672" priority="229" operator="between">
      <formula>0.48</formula>
      <formula>0.5</formula>
    </cfRule>
    <cfRule type="cellIs" dxfId="3671" priority="230" stopIfTrue="1" operator="between">
      <formula>0</formula>
      <formula>0.255</formula>
    </cfRule>
  </conditionalFormatting>
  <conditionalFormatting sqref="AA201">
    <cfRule type="cellIs" dxfId="3670" priority="221" operator="between">
      <formula>0.56251</formula>
      <formula>0.7125</formula>
    </cfRule>
    <cfRule type="cellIs" dxfId="3669" priority="222" operator="between">
      <formula>0.3751</formula>
      <formula>0.5625</formula>
    </cfRule>
    <cfRule type="cellIs" dxfId="3668" priority="223" operator="greaterThan">
      <formula>0.751</formula>
    </cfRule>
    <cfRule type="cellIs" dxfId="3667" priority="224" operator="between">
      <formula>0.71251</formula>
      <formula>0.75</formula>
    </cfRule>
    <cfRule type="cellIs" dxfId="3666" priority="225" stopIfTrue="1" operator="between">
      <formula>0</formula>
      <formula>0.375</formula>
    </cfRule>
  </conditionalFormatting>
  <conditionalFormatting sqref="AC201">
    <cfRule type="cellIs" dxfId="3665" priority="216" operator="between">
      <formula>0.56251</formula>
      <formula>0.7125</formula>
    </cfRule>
    <cfRule type="cellIs" dxfId="3664" priority="217" operator="between">
      <formula>0.3751</formula>
      <formula>0.5625</formula>
    </cfRule>
    <cfRule type="cellIs" dxfId="3663" priority="218" operator="greaterThan">
      <formula>0.751</formula>
    </cfRule>
    <cfRule type="cellIs" dxfId="3662" priority="219" operator="between">
      <formula>0.71251</formula>
      <formula>0.75</formula>
    </cfRule>
    <cfRule type="cellIs" dxfId="3661" priority="220" stopIfTrue="1" operator="between">
      <formula>0</formula>
      <formula>0.375</formula>
    </cfRule>
  </conditionalFormatting>
  <conditionalFormatting sqref="AB201">
    <cfRule type="cellIs" dxfId="3660" priority="211" operator="between">
      <formula>0.56251</formula>
      <formula>0.7125</formula>
    </cfRule>
    <cfRule type="cellIs" dxfId="3659" priority="212" operator="between">
      <formula>0.3751</formula>
      <formula>0.5625</formula>
    </cfRule>
    <cfRule type="cellIs" dxfId="3658" priority="213" operator="greaterThan">
      <formula>0.751</formula>
    </cfRule>
    <cfRule type="cellIs" dxfId="3657" priority="214" operator="between">
      <formula>0.71251</formula>
      <formula>0.75</formula>
    </cfRule>
    <cfRule type="cellIs" dxfId="3656" priority="215" stopIfTrue="1" operator="between">
      <formula>0</formula>
      <formula>0.375</formula>
    </cfRule>
  </conditionalFormatting>
  <conditionalFormatting sqref="AI201">
    <cfRule type="cellIs" dxfId="3655" priority="206" operator="between">
      <formula>0.76</formula>
      <formula>0.95</formula>
    </cfRule>
    <cfRule type="cellIs" dxfId="3654" priority="207" operator="between">
      <formula>0.51</formula>
      <formula>0.75</formula>
    </cfRule>
    <cfRule type="cellIs" dxfId="3653" priority="208" operator="greaterThan">
      <formula>1</formula>
    </cfRule>
    <cfRule type="cellIs" dxfId="3652" priority="209" operator="between">
      <formula>0.95</formula>
      <formula>1</formula>
    </cfRule>
    <cfRule type="cellIs" dxfId="3651" priority="210" stopIfTrue="1" operator="between">
      <formula>0</formula>
      <formula>0.5</formula>
    </cfRule>
  </conditionalFormatting>
  <conditionalFormatting sqref="AH201">
    <cfRule type="cellIs" dxfId="3650" priority="201" operator="between">
      <formula>0.76</formula>
      <formula>0.95</formula>
    </cfRule>
    <cfRule type="cellIs" dxfId="3649" priority="202" operator="between">
      <formula>0.51</formula>
      <formula>0.75</formula>
    </cfRule>
    <cfRule type="cellIs" dxfId="3648" priority="203" operator="greaterThan">
      <formula>1</formula>
    </cfRule>
    <cfRule type="cellIs" dxfId="3647" priority="204" operator="between">
      <formula>0.95</formula>
      <formula>1</formula>
    </cfRule>
    <cfRule type="cellIs" dxfId="3646" priority="205" stopIfTrue="1" operator="between">
      <formula>0</formula>
      <formula>0.5</formula>
    </cfRule>
  </conditionalFormatting>
  <conditionalFormatting sqref="R234:S234">
    <cfRule type="cellIs" dxfId="3645" priority="171" operator="between">
      <formula>0.76</formula>
      <formula>0.95</formula>
    </cfRule>
    <cfRule type="cellIs" dxfId="3644" priority="172" operator="between">
      <formula>0.51</formula>
      <formula>0.75</formula>
    </cfRule>
    <cfRule type="cellIs" dxfId="3643" priority="173" operator="greaterThan">
      <formula>1</formula>
    </cfRule>
    <cfRule type="cellIs" dxfId="3642" priority="174" operator="between">
      <formula>0.96</formula>
      <formula>1</formula>
    </cfRule>
    <cfRule type="cellIs" dxfId="3641" priority="175" stopIfTrue="1" operator="between">
      <formula>0</formula>
      <formula>0.5</formula>
    </cfRule>
  </conditionalFormatting>
  <conditionalFormatting sqref="V234">
    <cfRule type="cellIs" dxfId="3640" priority="166" operator="between">
      <formula>0.1876</formula>
      <formula>0.2375</formula>
    </cfRule>
    <cfRule type="cellIs" dxfId="3639" priority="167" operator="between">
      <formula>0.1251</formula>
      <formula>0.1875</formula>
    </cfRule>
    <cfRule type="cellIs" dxfId="3638" priority="168" operator="greaterThan">
      <formula>0.25</formula>
    </cfRule>
    <cfRule type="cellIs" dxfId="3637" priority="169" operator="between">
      <formula>0.2375</formula>
      <formula>0.25</formula>
    </cfRule>
    <cfRule type="cellIs" dxfId="3636" priority="170" stopIfTrue="1" operator="between">
      <formula>0</formula>
      <formula>0.125</formula>
    </cfRule>
  </conditionalFormatting>
  <conditionalFormatting sqref="T234:U234">
    <cfRule type="cellIs" dxfId="3635" priority="161" operator="between">
      <formula>0.1876</formula>
      <formula>0.2375</formula>
    </cfRule>
    <cfRule type="cellIs" dxfId="3634" priority="162" operator="between">
      <formula>0.1251</formula>
      <formula>0.1875</formula>
    </cfRule>
    <cfRule type="cellIs" dxfId="3633" priority="163" operator="greaterThan">
      <formula>0.25</formula>
    </cfRule>
    <cfRule type="cellIs" dxfId="3632" priority="164" operator="between">
      <formula>0.2376</formula>
      <formula>0.25</formula>
    </cfRule>
    <cfRule type="cellIs" dxfId="3631" priority="165" stopIfTrue="1" operator="between">
      <formula>0</formula>
      <formula>0.125</formula>
    </cfRule>
  </conditionalFormatting>
  <conditionalFormatting sqref="AC234">
    <cfRule type="cellIs" dxfId="3630" priority="156" operator="between">
      <formula>0.1876</formula>
      <formula>0.2375</formula>
    </cfRule>
    <cfRule type="cellIs" dxfId="3629" priority="157" operator="between">
      <formula>0.1251</formula>
      <formula>0.1875</formula>
    </cfRule>
    <cfRule type="cellIs" dxfId="3628" priority="158" operator="greaterThan">
      <formula>0.25</formula>
    </cfRule>
    <cfRule type="cellIs" dxfId="3627" priority="159" operator="between">
      <formula>0.2375</formula>
      <formula>0.25</formula>
    </cfRule>
    <cfRule type="cellIs" dxfId="3626" priority="160" stopIfTrue="1" operator="between">
      <formula>0</formula>
      <formula>0.125</formula>
    </cfRule>
  </conditionalFormatting>
  <conditionalFormatting sqref="AA234:AB234">
    <cfRule type="cellIs" dxfId="3625" priority="151" operator="between">
      <formula>0.1876</formula>
      <formula>0.2375</formula>
    </cfRule>
    <cfRule type="cellIs" dxfId="3624" priority="152" operator="between">
      <formula>0.1251</formula>
      <formula>0.1875</formula>
    </cfRule>
    <cfRule type="cellIs" dxfId="3623" priority="153" operator="greaterThan">
      <formula>0.25</formula>
    </cfRule>
    <cfRule type="cellIs" dxfId="3622" priority="154" operator="between">
      <formula>0.2376</formula>
      <formula>0.25</formula>
    </cfRule>
    <cfRule type="cellIs" dxfId="3621" priority="155" stopIfTrue="1" operator="between">
      <formula>0</formula>
      <formula>0.125</formula>
    </cfRule>
  </conditionalFormatting>
  <conditionalFormatting sqref="AH234">
    <cfRule type="cellIs" dxfId="3620" priority="146" operator="between">
      <formula>0.1876</formula>
      <formula>0.2375</formula>
    </cfRule>
    <cfRule type="cellIs" dxfId="3619" priority="147" operator="between">
      <formula>0.1251</formula>
      <formula>0.1875</formula>
    </cfRule>
    <cfRule type="cellIs" dxfId="3618" priority="148" operator="greaterThan">
      <formula>0.25</formula>
    </cfRule>
    <cfRule type="cellIs" dxfId="3617" priority="149" operator="between">
      <formula>0.2376</formula>
      <formula>0.25</formula>
    </cfRule>
    <cfRule type="cellIs" dxfId="3616" priority="150" stopIfTrue="1" operator="between">
      <formula>0</formula>
      <formula>0.125</formula>
    </cfRule>
  </conditionalFormatting>
  <conditionalFormatting sqref="T162">
    <cfRule type="cellIs" dxfId="3615" priority="141" operator="between">
      <formula>0.3751</formula>
      <formula>0.475</formula>
    </cfRule>
    <cfRule type="cellIs" dxfId="3614" priority="142" operator="between">
      <formula>0.2551</formula>
      <formula>0.375</formula>
    </cfRule>
    <cfRule type="cellIs" dxfId="3613" priority="143" operator="greaterThan">
      <formula>0.505</formula>
    </cfRule>
    <cfRule type="cellIs" dxfId="3612" priority="144" operator="between">
      <formula>0.48</formula>
      <formula>0.5</formula>
    </cfRule>
    <cfRule type="cellIs" dxfId="3611" priority="145" stopIfTrue="1" operator="between">
      <formula>0</formula>
      <formula>0.255</formula>
    </cfRule>
  </conditionalFormatting>
  <conditionalFormatting sqref="U162:V162">
    <cfRule type="cellIs" dxfId="3610" priority="136" operator="between">
      <formula>0.376</formula>
      <formula>0.475</formula>
    </cfRule>
    <cfRule type="cellIs" dxfId="3609" priority="137" operator="between">
      <formula>0.2551</formula>
      <formula>0.3751</formula>
    </cfRule>
    <cfRule type="cellIs" dxfId="3608" priority="138" operator="greaterThan">
      <formula>0.505</formula>
    </cfRule>
    <cfRule type="cellIs" dxfId="3607" priority="139" operator="between">
      <formula>0.48</formula>
      <formula>0.5</formula>
    </cfRule>
    <cfRule type="cellIs" dxfId="3606" priority="140" stopIfTrue="1" operator="between">
      <formula>0</formula>
      <formula>0.255</formula>
    </cfRule>
  </conditionalFormatting>
  <conditionalFormatting sqref="T163">
    <cfRule type="cellIs" dxfId="3605" priority="131" operator="between">
      <formula>0.3751</formula>
      <formula>0.475</formula>
    </cfRule>
    <cfRule type="cellIs" dxfId="3604" priority="132" operator="between">
      <formula>0.2551</formula>
      <formula>0.375</formula>
    </cfRule>
    <cfRule type="cellIs" dxfId="3603" priority="133" operator="greaterThan">
      <formula>0.505</formula>
    </cfRule>
    <cfRule type="cellIs" dxfId="3602" priority="134" operator="between">
      <formula>0.48</formula>
      <formula>0.5</formula>
    </cfRule>
    <cfRule type="cellIs" dxfId="3601" priority="135" stopIfTrue="1" operator="between">
      <formula>0</formula>
      <formula>0.255</formula>
    </cfRule>
  </conditionalFormatting>
  <conditionalFormatting sqref="U163:V163">
    <cfRule type="cellIs" dxfId="3600" priority="126" operator="between">
      <formula>0.376</formula>
      <formula>0.475</formula>
    </cfRule>
    <cfRule type="cellIs" dxfId="3599" priority="127" operator="between">
      <formula>0.2551</formula>
      <formula>0.3751</formula>
    </cfRule>
    <cfRule type="cellIs" dxfId="3598" priority="128" operator="greaterThan">
      <formula>0.505</formula>
    </cfRule>
    <cfRule type="cellIs" dxfId="3597" priority="129" operator="between">
      <formula>0.48</formula>
      <formula>0.5</formula>
    </cfRule>
    <cfRule type="cellIs" dxfId="3596" priority="130" stopIfTrue="1" operator="between">
      <formula>0</formula>
      <formula>0.255</formula>
    </cfRule>
  </conditionalFormatting>
  <conditionalFormatting sqref="AA163:AC163">
    <cfRule type="cellIs" dxfId="3595" priority="121" operator="between">
      <formula>0.56251</formula>
      <formula>0.7125</formula>
    </cfRule>
    <cfRule type="cellIs" dxfId="3594" priority="122" operator="between">
      <formula>0.3751</formula>
      <formula>0.5625</formula>
    </cfRule>
    <cfRule type="cellIs" dxfId="3593" priority="123" operator="greaterThan">
      <formula>0.751</formula>
    </cfRule>
    <cfRule type="cellIs" dxfId="3592" priority="124" operator="between">
      <formula>0.71251</formula>
      <formula>0.75</formula>
    </cfRule>
    <cfRule type="cellIs" dxfId="3591" priority="125" stopIfTrue="1" operator="between">
      <formula>0</formula>
      <formula>0.375</formula>
    </cfRule>
  </conditionalFormatting>
  <conditionalFormatting sqref="AH163:AI163">
    <cfRule type="cellIs" dxfId="3590" priority="106" operator="between">
      <formula>0.76</formula>
      <formula>0.95</formula>
    </cfRule>
    <cfRule type="cellIs" dxfId="3589" priority="107" operator="between">
      <formula>0.51</formula>
      <formula>0.75</formula>
    </cfRule>
    <cfRule type="cellIs" dxfId="3588" priority="108" operator="greaterThan">
      <formula>1</formula>
    </cfRule>
    <cfRule type="cellIs" dxfId="3587" priority="109" operator="between">
      <formula>0.96</formula>
      <formula>1</formula>
    </cfRule>
    <cfRule type="cellIs" dxfId="3586" priority="110" stopIfTrue="1" operator="between">
      <formula>0</formula>
      <formula>0.5</formula>
    </cfRule>
  </conditionalFormatting>
  <conditionalFormatting sqref="AI163">
    <cfRule type="cellIs" dxfId="3585" priority="101" operator="between">
      <formula>0.76</formula>
      <formula>0.95</formula>
    </cfRule>
    <cfRule type="cellIs" dxfId="3584" priority="102" operator="between">
      <formula>0.51</formula>
      <formula>0.75</formula>
    </cfRule>
    <cfRule type="cellIs" dxfId="3583" priority="103" operator="greaterThan">
      <formula>1</formula>
    </cfRule>
    <cfRule type="cellIs" dxfId="3582" priority="104" operator="between">
      <formula>0.95</formula>
      <formula>1</formula>
    </cfRule>
    <cfRule type="cellIs" dxfId="3581" priority="105" stopIfTrue="1" operator="between">
      <formula>0</formula>
      <formula>0.5</formula>
    </cfRule>
  </conditionalFormatting>
  <conditionalFormatting sqref="T191">
    <cfRule type="cellIs" dxfId="3580" priority="96" operator="between">
      <formula>0.3751</formula>
      <formula>0.475</formula>
    </cfRule>
    <cfRule type="cellIs" dxfId="3579" priority="97" operator="between">
      <formula>0.2551</formula>
      <formula>0.375</formula>
    </cfRule>
    <cfRule type="cellIs" dxfId="3578" priority="98" operator="greaterThan">
      <formula>0.505</formula>
    </cfRule>
    <cfRule type="cellIs" dxfId="3577" priority="99" operator="between">
      <formula>0.48</formula>
      <formula>0.5</formula>
    </cfRule>
    <cfRule type="cellIs" dxfId="3576" priority="100" stopIfTrue="1" operator="between">
      <formula>0</formula>
      <formula>0.255</formula>
    </cfRule>
  </conditionalFormatting>
  <conditionalFormatting sqref="U191">
    <cfRule type="cellIs" dxfId="3575" priority="91" operator="between">
      <formula>0.376</formula>
      <formula>0.475</formula>
    </cfRule>
    <cfRule type="cellIs" dxfId="3574" priority="92" operator="between">
      <formula>0.2551</formula>
      <formula>0.3751</formula>
    </cfRule>
    <cfRule type="cellIs" dxfId="3573" priority="93" operator="greaterThan">
      <formula>0.505</formula>
    </cfRule>
    <cfRule type="cellIs" dxfId="3572" priority="94" operator="between">
      <formula>0.48</formula>
      <formula>0.5</formula>
    </cfRule>
    <cfRule type="cellIs" dxfId="3571" priority="95" stopIfTrue="1" operator="between">
      <formula>0</formula>
      <formula>0.255</formula>
    </cfRule>
  </conditionalFormatting>
  <conditionalFormatting sqref="V191">
    <cfRule type="cellIs" dxfId="3570" priority="86" operator="between">
      <formula>0.376</formula>
      <formula>0.475</formula>
    </cfRule>
    <cfRule type="cellIs" dxfId="3569" priority="87" operator="between">
      <formula>0.2551</formula>
      <formula>0.3751</formula>
    </cfRule>
    <cfRule type="cellIs" dxfId="3568" priority="88" operator="greaterThan">
      <formula>0.505</formula>
    </cfRule>
    <cfRule type="cellIs" dxfId="3567" priority="89" operator="between">
      <formula>0.48</formula>
      <formula>0.5</formula>
    </cfRule>
    <cfRule type="cellIs" dxfId="3566" priority="90" stopIfTrue="1" operator="between">
      <formula>0</formula>
      <formula>0.255</formula>
    </cfRule>
  </conditionalFormatting>
  <conditionalFormatting sqref="T191">
    <cfRule type="cellIs" dxfId="3565" priority="81" operator="between">
      <formula>0.3751</formula>
      <formula>0.475</formula>
    </cfRule>
    <cfRule type="cellIs" dxfId="3564" priority="82" operator="between">
      <formula>0.2551</formula>
      <formula>0.375</formula>
    </cfRule>
    <cfRule type="cellIs" dxfId="3563" priority="83" operator="greaterThan">
      <formula>0.505</formula>
    </cfRule>
    <cfRule type="cellIs" dxfId="3562" priority="84" operator="between">
      <formula>0.48</formula>
      <formula>0.5</formula>
    </cfRule>
    <cfRule type="cellIs" dxfId="3561" priority="85" stopIfTrue="1" operator="between">
      <formula>0</formula>
      <formula>0.255</formula>
    </cfRule>
  </conditionalFormatting>
  <conditionalFormatting sqref="U191">
    <cfRule type="cellIs" dxfId="3560" priority="76" operator="between">
      <formula>0.376</formula>
      <formula>0.475</formula>
    </cfRule>
    <cfRule type="cellIs" dxfId="3559" priority="77" operator="between">
      <formula>0.2551</formula>
      <formula>0.3751</formula>
    </cfRule>
    <cfRule type="cellIs" dxfId="3558" priority="78" operator="greaterThan">
      <formula>0.505</formula>
    </cfRule>
    <cfRule type="cellIs" dxfId="3557" priority="79" operator="between">
      <formula>0.48</formula>
      <formula>0.5</formula>
    </cfRule>
    <cfRule type="cellIs" dxfId="3556" priority="80" stopIfTrue="1" operator="between">
      <formula>0</formula>
      <formula>0.255</formula>
    </cfRule>
  </conditionalFormatting>
  <conditionalFormatting sqref="V191">
    <cfRule type="cellIs" dxfId="3555" priority="71" operator="between">
      <formula>0.376</formula>
      <formula>0.475</formula>
    </cfRule>
    <cfRule type="cellIs" dxfId="3554" priority="72" operator="between">
      <formula>0.2551</formula>
      <formula>0.3751</formula>
    </cfRule>
    <cfRule type="cellIs" dxfId="3553" priority="73" operator="greaterThan">
      <formula>0.505</formula>
    </cfRule>
    <cfRule type="cellIs" dxfId="3552" priority="74" operator="between">
      <formula>0.48</formula>
      <formula>0.5</formula>
    </cfRule>
    <cfRule type="cellIs" dxfId="3551" priority="75" stopIfTrue="1" operator="between">
      <formula>0</formula>
      <formula>0.255</formula>
    </cfRule>
  </conditionalFormatting>
  <conditionalFormatting sqref="AA191:AB191">
    <cfRule type="cellIs" dxfId="3550" priority="66" operator="between">
      <formula>0.56251</formula>
      <formula>0.7125</formula>
    </cfRule>
    <cfRule type="cellIs" dxfId="3549" priority="67" operator="between">
      <formula>0.3751</formula>
      <formula>0.5625</formula>
    </cfRule>
    <cfRule type="cellIs" dxfId="3548" priority="68" operator="greaterThan">
      <formula>0.751</formula>
    </cfRule>
    <cfRule type="cellIs" dxfId="3547" priority="69" operator="between">
      <formula>0.71251</formula>
      <formula>0.75</formula>
    </cfRule>
    <cfRule type="cellIs" dxfId="3546" priority="70" stopIfTrue="1" operator="between">
      <formula>0</formula>
      <formula>0.375</formula>
    </cfRule>
  </conditionalFormatting>
  <conditionalFormatting sqref="AA191:AB191">
    <cfRule type="cellIs" dxfId="3545" priority="56" operator="between">
      <formula>0.56251</formula>
      <formula>0.7125</formula>
    </cfRule>
    <cfRule type="cellIs" dxfId="3544" priority="57" operator="between">
      <formula>0.3751</formula>
      <formula>0.5625</formula>
    </cfRule>
    <cfRule type="cellIs" dxfId="3543" priority="58" operator="greaterThan">
      <formula>0.751</formula>
    </cfRule>
    <cfRule type="cellIs" dxfId="3542" priority="59" operator="between">
      <formula>0.71251</formula>
      <formula>0.75</formula>
    </cfRule>
    <cfRule type="cellIs" dxfId="3541" priority="60" stopIfTrue="1" operator="between">
      <formula>0</formula>
      <formula>0.375</formula>
    </cfRule>
  </conditionalFormatting>
  <conditionalFormatting sqref="AC191">
    <cfRule type="cellIs" dxfId="3540" priority="46" operator="between">
      <formula>0.56251</formula>
      <formula>0.7125</formula>
    </cfRule>
    <cfRule type="cellIs" dxfId="3539" priority="47" operator="between">
      <formula>0.3751</formula>
      <formula>0.5625</formula>
    </cfRule>
    <cfRule type="cellIs" dxfId="3538" priority="48" operator="greaterThan">
      <formula>0.751</formula>
    </cfRule>
    <cfRule type="cellIs" dxfId="3537" priority="49" operator="between">
      <formula>0.71251</formula>
      <formula>0.75</formula>
    </cfRule>
    <cfRule type="cellIs" dxfId="3536" priority="50" stopIfTrue="1" operator="between">
      <formula>0</formula>
      <formula>0.375</formula>
    </cfRule>
  </conditionalFormatting>
  <conditionalFormatting sqref="AH191:AI191">
    <cfRule type="cellIs" dxfId="3535" priority="41" operator="between">
      <formula>0.76</formula>
      <formula>0.95</formula>
    </cfRule>
    <cfRule type="cellIs" dxfId="3534" priority="42" operator="between">
      <formula>0.51</formula>
      <formula>0.75</formula>
    </cfRule>
    <cfRule type="cellIs" dxfId="3533" priority="43" operator="greaterThan">
      <formula>1</formula>
    </cfRule>
    <cfRule type="cellIs" dxfId="3532" priority="44" operator="between">
      <formula>0.95</formula>
      <formula>1</formula>
    </cfRule>
    <cfRule type="cellIs" dxfId="3531" priority="45" stopIfTrue="1" operator="between">
      <formula>0</formula>
      <formula>0.5</formula>
    </cfRule>
  </conditionalFormatting>
  <conditionalFormatting sqref="AH191:AI191">
    <cfRule type="cellIs" dxfId="3530" priority="36" operator="between">
      <formula>0.76</formula>
      <formula>0.95</formula>
    </cfRule>
    <cfRule type="cellIs" dxfId="3529" priority="37" operator="between">
      <formula>0.51</formula>
      <formula>0.75</formula>
    </cfRule>
    <cfRule type="cellIs" dxfId="3528" priority="38" operator="greaterThan">
      <formula>1</formula>
    </cfRule>
    <cfRule type="cellIs" dxfId="3527" priority="39" operator="between">
      <formula>0.95</formula>
      <formula>1</formula>
    </cfRule>
    <cfRule type="cellIs" dxfId="3526" priority="40" stopIfTrue="1" operator="between">
      <formula>0</formula>
      <formula>0.5</formula>
    </cfRule>
  </conditionalFormatting>
  <conditionalFormatting sqref="Z181">
    <cfRule type="cellIs" dxfId="3525" priority="31" operator="between">
      <formula>0.76</formula>
      <formula>0.95</formula>
    </cfRule>
    <cfRule type="cellIs" dxfId="3524" priority="32" operator="between">
      <formula>0.51</formula>
      <formula>0.75</formula>
    </cfRule>
    <cfRule type="cellIs" dxfId="3523" priority="33" operator="greaterThan">
      <formula>1</formula>
    </cfRule>
    <cfRule type="cellIs" dxfId="3522" priority="34" operator="between">
      <formula>0.95</formula>
      <formula>1</formula>
    </cfRule>
    <cfRule type="cellIs" dxfId="3521" priority="35" stopIfTrue="1" operator="between">
      <formula>0</formula>
      <formula>0.5</formula>
    </cfRule>
  </conditionalFormatting>
  <conditionalFormatting sqref="AC181">
    <cfRule type="cellIs" dxfId="3520" priority="26" operator="between">
      <formula>0.56251</formula>
      <formula>0.7125</formula>
    </cfRule>
    <cfRule type="cellIs" dxfId="3519" priority="27" operator="between">
      <formula>0.3751</formula>
      <formula>0.5625</formula>
    </cfRule>
    <cfRule type="cellIs" dxfId="3518" priority="28" operator="greaterThan">
      <formula>0.751</formula>
    </cfRule>
    <cfRule type="cellIs" dxfId="3517" priority="29" operator="between">
      <formula>0.71251</formula>
      <formula>0.75</formula>
    </cfRule>
    <cfRule type="cellIs" dxfId="3516" priority="30" stopIfTrue="1" operator="between">
      <formula>0</formula>
      <formula>0.375</formula>
    </cfRule>
  </conditionalFormatting>
  <conditionalFormatting sqref="AG200">
    <cfRule type="cellIs" dxfId="3515" priority="21" operator="between">
      <formula>0.76</formula>
      <formula>0.95</formula>
    </cfRule>
    <cfRule type="cellIs" dxfId="3514" priority="22" operator="between">
      <formula>0.51</formula>
      <formula>0.75</formula>
    </cfRule>
    <cfRule type="cellIs" dxfId="3513" priority="23" operator="greaterThan">
      <formula>1</formula>
    </cfRule>
    <cfRule type="cellIs" dxfId="3512" priority="24" operator="between">
      <formula>0.95</formula>
      <formula>1</formula>
    </cfRule>
    <cfRule type="cellIs" dxfId="3511" priority="25" stopIfTrue="1" operator="between">
      <formula>0</formula>
      <formula>0.5</formula>
    </cfRule>
  </conditionalFormatting>
  <conditionalFormatting sqref="Z121">
    <cfRule type="cellIs" dxfId="3510" priority="16" operator="between">
      <formula>0.76</formula>
      <formula>0.95</formula>
    </cfRule>
    <cfRule type="cellIs" dxfId="3509" priority="17" operator="between">
      <formula>0.51</formula>
      <formula>0.75</formula>
    </cfRule>
    <cfRule type="cellIs" dxfId="3508" priority="18" operator="greaterThan">
      <formula>1</formula>
    </cfRule>
    <cfRule type="cellIs" dxfId="3507" priority="19" operator="between">
      <formula>0.95</formula>
      <formula>1</formula>
    </cfRule>
    <cfRule type="cellIs" dxfId="3506" priority="20" stopIfTrue="1" operator="between">
      <formula>0</formula>
      <formula>0.5</formula>
    </cfRule>
  </conditionalFormatting>
  <conditionalFormatting sqref="R219:S219">
    <cfRule type="cellIs" dxfId="3505" priority="11" operator="between">
      <formula>0.76</formula>
      <formula>0.95</formula>
    </cfRule>
    <cfRule type="cellIs" dxfId="3504" priority="12" operator="between">
      <formula>0.51</formula>
      <formula>0.75</formula>
    </cfRule>
    <cfRule type="cellIs" dxfId="3503" priority="13" operator="greaterThan">
      <formula>1</formula>
    </cfRule>
    <cfRule type="cellIs" dxfId="3502" priority="14" operator="between">
      <formula>0.95</formula>
      <formula>1</formula>
    </cfRule>
    <cfRule type="cellIs" dxfId="3501" priority="15" stopIfTrue="1" operator="between">
      <formula>0</formula>
      <formula>0.5</formula>
    </cfRule>
  </conditionalFormatting>
  <conditionalFormatting sqref="T219">
    <cfRule type="cellIs" dxfId="3500" priority="6" operator="between">
      <formula>0.3751</formula>
      <formula>0.475</formula>
    </cfRule>
    <cfRule type="cellIs" dxfId="3499" priority="7" operator="between">
      <formula>0.2551</formula>
      <formula>0.375</formula>
    </cfRule>
    <cfRule type="cellIs" dxfId="3498" priority="8" operator="greaterThan">
      <formula>0.505</formula>
    </cfRule>
    <cfRule type="cellIs" dxfId="3497" priority="9" operator="between">
      <formula>0.48</formula>
      <formula>0.5</formula>
    </cfRule>
    <cfRule type="cellIs" dxfId="3496" priority="10" stopIfTrue="1" operator="between">
      <formula>0</formula>
      <formula>0.255</formula>
    </cfRule>
  </conditionalFormatting>
  <conditionalFormatting sqref="U219:V219">
    <cfRule type="cellIs" dxfId="3495" priority="1" operator="between">
      <formula>0.376</formula>
      <formula>0.475</formula>
    </cfRule>
    <cfRule type="cellIs" dxfId="3494" priority="2" operator="between">
      <formula>0.2551</formula>
      <formula>0.3751</formula>
    </cfRule>
    <cfRule type="cellIs" dxfId="3493" priority="3" operator="greaterThan">
      <formula>0.505</formula>
    </cfRule>
    <cfRule type="cellIs" dxfId="3492" priority="4" operator="between">
      <formula>0.48</formula>
      <formula>0.5</formula>
    </cfRule>
    <cfRule type="cellIs" dxfId="3491" priority="5" stopIfTrue="1" operator="between">
      <formula>0</formula>
      <formula>0.255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876" id="{CB4887D6-A6EF-43BF-AAB5-CA2D4CE99947}">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8877" stopIfTrue="1" id="{A3174C5E-FE52-434E-8C63-478D70C7AC10}">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8878" stopIfTrue="1" id="{4E2C1DE6-E61E-4368-A799-08FEFDD385A2}">
            <xm:f>AND(IF(J35&lt;'F:\Users\norela.briceno\Documents\Plan de acción\Plan Accion 2018\[Plan Accion Integrado ADRES Vigencia 2018 con Cuadro de Mando V6..xlsx]Plan de Accion 2018'!#REF!,J35&lt;&gt;"N/A"))</xm:f>
            <x14:dxf>
              <fill>
                <patternFill>
                  <bgColor indexed="10"/>
                </patternFill>
              </fill>
            </x14:dxf>
          </x14:cfRule>
          <xm:sqref>J213:J215 Q213:Q215 AE213:AE214 X214:X215 J234:J235 Q234:Q235 AE234:AE235 J155 Q155 AE155 X155 J35 J59 Q35 Q59 X35 X59 AE35 AE59 J242 Q242 X242 AE242 J159:J164 Q159:Q162 X159:X162 AE159:AE162 J217 Q217 X217 AE164 X164 Q164</xm:sqref>
        </x14:conditionalFormatting>
        <x14:conditionalFormatting xmlns:xm="http://schemas.microsoft.com/office/excel/2006/main">
          <x14:cfRule type="expression" priority="18153" id="{238B3783-6103-4ED3-9181-4762EA6122FC}">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8154" stopIfTrue="1" id="{765A827D-A878-4B88-B8D3-300B6356F1B7}">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8155" stopIfTrue="1" id="{E60F6696-C8E7-4FD4-A968-3B4595025553}">
            <xm:f>AND(IF(J43&lt;'F:\Users\norela.briceno\Documents\Plan de acción\Plan Accion 2018\[Plan Accion Integrado ADRES Vigencia 2018 con Cuadro de Mando V6..xlsx]Plan de Accion 2018'!#REF!,J43&lt;&gt;"N/A"))</xm:f>
            <x14:dxf>
              <fill>
                <patternFill>
                  <bgColor indexed="10"/>
                </patternFill>
              </fill>
            </x14:dxf>
          </x14:cfRule>
          <xm:sqref>X155 X159:X162 AE217 J220:J221 Q220:Q221 X220:X221 AE220:AE221 J43:J44 Q43:Q44 X43:X44 AE43:AE44 X164 J117:J120 J56 Q56 X56 AE56 J137:J140 Q137:Q140 X137:X140 AE137:AE140</xm:sqref>
        </x14:conditionalFormatting>
        <x14:conditionalFormatting xmlns:xm="http://schemas.microsoft.com/office/excel/2006/main">
          <x14:cfRule type="expression" priority="18150" id="{8C5B9726-0070-466E-9293-4FB0D4BFAECA}">
            <xm:f>AND(IF(AE155&gt;'F:\Users\norela.briceno\Documents\Plan de acción\Plan Accion 2018\[Plan Accion Integrado ADRES Vigencia 2018 con Cuadro de Mando V6..xlsx]Plan de Accion 2018'!#REF!,AE155&lt;&gt;¨N/A¨))</xm:f>
            <x14:dxf>
              <fill>
                <patternFill>
                  <bgColor theme="1" tint="0.499984740745262"/>
                </patternFill>
              </fill>
            </x14:dxf>
          </x14:cfRule>
          <x14:cfRule type="expression" priority="18151" stopIfTrue="1" id="{8B1C504B-F313-4E8E-964B-05A47B8417D5}">
            <xm:f>AND(IF(AE155='F:\Users\norela.briceno\Documents\Plan de acción\Plan Accion 2018\[Plan Accion Integrado ADRES Vigencia 2018 con Cuadro de Mando V6..xlsx]Plan de Accion 2018'!#REF!,AE155&lt;&gt;"N/A"))</xm:f>
            <x14:dxf>
              <fill>
                <patternFill>
                  <bgColor rgb="FF00B050"/>
                </patternFill>
              </fill>
            </x14:dxf>
          </x14:cfRule>
          <x14:cfRule type="expression" priority="18152" stopIfTrue="1" id="{3B5BD079-0278-402E-A7F8-D19A31DC38E3}">
            <xm:f>AND(IF(AE155&lt;'F:\Users\norela.briceno\Documents\Plan de acción\Plan Accion 2018\[Plan Accion Integrado ADRES Vigencia 2018 con Cuadro de Mando V6..xlsx]Plan de Accion 2018'!#REF!,AE155&lt;&gt;"N/A"))</xm:f>
            <x14:dxf>
              <fill>
                <patternFill>
                  <bgColor indexed="10"/>
                </patternFill>
              </fill>
            </x14:dxf>
          </x14:cfRule>
          <xm:sqref>AE159:AE162 AE155 AE164</xm:sqref>
        </x14:conditionalFormatting>
        <x14:conditionalFormatting xmlns:xm="http://schemas.microsoft.com/office/excel/2006/main">
          <x14:cfRule type="expression" priority="18159" id="{8DE4B417-6BFE-4282-AA67-86C278E5EE0D}">
            <xm:f>AND(IF(J155&gt;'F:\Users\norela.briceno\Documents\Plan de acción\Plan Accion 2018\[Plan Accion Integrado ADRES Vigencia 2018 con Cuadro de Mando V6..xlsx]Plan de Accion 2018'!#REF!,J155&lt;&gt;¨N/A¨))</xm:f>
            <x14:dxf>
              <fill>
                <patternFill>
                  <bgColor theme="1" tint="0.499984740745262"/>
                </patternFill>
              </fill>
            </x14:dxf>
          </x14:cfRule>
          <x14:cfRule type="expression" priority="18160" stopIfTrue="1" id="{89CC5DDF-3891-4955-8E6A-A940D65A42C3}">
            <xm:f>AND(IF(J155='F:\Users\norela.briceno\Documents\Plan de acción\Plan Accion 2018\[Plan Accion Integrado ADRES Vigencia 2018 con Cuadro de Mando V6..xlsx]Plan de Accion 2018'!#REF!,J155&lt;&gt;"N/A"))</xm:f>
            <x14:dxf>
              <fill>
                <patternFill>
                  <bgColor rgb="FF00B050"/>
                </patternFill>
              </fill>
            </x14:dxf>
          </x14:cfRule>
          <x14:cfRule type="expression" priority="18161" stopIfTrue="1" id="{E4CD26FB-B628-4FD4-BDEB-705D2991134E}">
            <xm:f>AND(IF(J155&lt;'F:\Users\norela.briceno\Documents\Plan de acción\Plan Accion 2018\[Plan Accion Integrado ADRES Vigencia 2018 con Cuadro de Mando V6..xlsx]Plan de Accion 2018'!#REF!,J155&lt;&gt;"N/A"))</xm:f>
            <x14:dxf>
              <fill>
                <patternFill>
                  <bgColor indexed="10"/>
                </patternFill>
              </fill>
            </x14:dxf>
          </x14:cfRule>
          <xm:sqref>J155 J159:J164</xm:sqref>
        </x14:conditionalFormatting>
        <x14:conditionalFormatting xmlns:xm="http://schemas.microsoft.com/office/excel/2006/main">
          <x14:cfRule type="expression" priority="18156" id="{3CB57BE2-E2B5-4D48-AC5E-FC33E65149E8}">
            <xm:f>AND(IF(Q155&gt;'F:\Users\norela.briceno\Documents\Plan de acción\Plan Accion 2018\[Plan Accion Integrado ADRES Vigencia 2018 con Cuadro de Mando V6..xlsx]Plan de Accion 2018'!#REF!,Q155&lt;&gt;¨N/A¨))</xm:f>
            <x14:dxf>
              <fill>
                <patternFill>
                  <bgColor theme="1" tint="0.499984740745262"/>
                </patternFill>
              </fill>
            </x14:dxf>
          </x14:cfRule>
          <x14:cfRule type="expression" priority="18157" stopIfTrue="1" id="{5D809DD5-28E9-43E1-860D-517172810AD1}">
            <xm:f>AND(IF(Q155='F:\Users\norela.briceno\Documents\Plan de acción\Plan Accion 2018\[Plan Accion Integrado ADRES Vigencia 2018 con Cuadro de Mando V6..xlsx]Plan de Accion 2018'!#REF!,Q155&lt;&gt;"N/A"))</xm:f>
            <x14:dxf>
              <fill>
                <patternFill>
                  <bgColor rgb="FF00B050"/>
                </patternFill>
              </fill>
            </x14:dxf>
          </x14:cfRule>
          <x14:cfRule type="expression" priority="18158" stopIfTrue="1" id="{0496DF38-4D8E-4675-ABBE-6EFB34E98ACB}">
            <xm:f>AND(IF(Q155&lt;'F:\Users\norela.briceno\Documents\Plan de acción\Plan Accion 2018\[Plan Accion Integrado ADRES Vigencia 2018 con Cuadro de Mando V6..xlsx]Plan de Accion 2018'!#REF!,Q155&lt;&gt;"N/A"))</xm:f>
            <x14:dxf>
              <fill>
                <patternFill>
                  <bgColor indexed="10"/>
                </patternFill>
              </fill>
            </x14:dxf>
          </x14:cfRule>
          <xm:sqref>Q159:Q162 Q155 Q164</xm:sqref>
        </x14:conditionalFormatting>
        <x14:conditionalFormatting xmlns:xm="http://schemas.microsoft.com/office/excel/2006/main">
          <x14:cfRule type="expression" priority="18099" id="{E471CD12-695A-4F08-9F8B-3703C9CCBC36}">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8100" stopIfTrue="1" id="{1B1985F8-D030-4EFE-AB33-6C3BE4FEC3DA}">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8101" stopIfTrue="1" id="{5F4C45A7-C314-4DA2-AC3C-8BDC44921CC4}">
            <xm:f>AND(IF(J131&lt;'F:\Users\norela.briceno\Documents\Plan de acción\Plan Accion 2018\[Plan Accion Integrado ADRES Vigencia 2018 con Cuadro de Mando V6..xlsx]Plan de Accion 2018'!#REF!,J131&lt;&gt;"N/A"))</xm:f>
            <x14:dxf>
              <fill>
                <patternFill>
                  <bgColor indexed="10"/>
                </patternFill>
              </fill>
            </x14:dxf>
          </x14:cfRule>
          <xm:sqref>J131</xm:sqref>
        </x14:conditionalFormatting>
        <x14:conditionalFormatting xmlns:xm="http://schemas.microsoft.com/office/excel/2006/main">
          <x14:cfRule type="expression" priority="18096" id="{8B98781D-034E-4F7D-B550-F42C8779B77D}">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8097" stopIfTrue="1" id="{C457E890-9F29-4262-AE21-5B89F8513DF5}">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8098" stopIfTrue="1" id="{DFC1EC4A-7557-40E1-8DE9-173AE3B3960B}">
            <xm:f>AND(IF(Q131&lt;'F:\Users\norela.briceno\Documents\Plan de acción\Plan Accion 2018\[Plan Accion Integrado ADRES Vigencia 2018 con Cuadro de Mando V6..xlsx]Plan de Accion 2018'!#REF!,Q131&lt;&gt;"N/A"))</xm:f>
            <x14:dxf>
              <fill>
                <patternFill>
                  <bgColor indexed="10"/>
                </patternFill>
              </fill>
            </x14:dxf>
          </x14:cfRule>
          <xm:sqref>Q131</xm:sqref>
        </x14:conditionalFormatting>
        <x14:conditionalFormatting xmlns:xm="http://schemas.microsoft.com/office/excel/2006/main">
          <x14:cfRule type="expression" priority="18093" id="{1EF93314-CAEF-429E-8A0B-69EA046C7AF2}">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8094" stopIfTrue="1" id="{397F626E-6C48-46E1-8B28-A4135333FA5E}">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8095" stopIfTrue="1" id="{2C042469-6C41-4FEE-9121-02CA36FA2497}">
            <xm:f>AND(IF(X131&lt;'F:\Users\norela.briceno\Documents\Plan de acción\Plan Accion 2018\[Plan Accion Integrado ADRES Vigencia 2018 con Cuadro de Mando V6..xlsx]Plan de Accion 2018'!#REF!,X131&lt;&gt;"N/A"))</xm:f>
            <x14:dxf>
              <fill>
                <patternFill>
                  <bgColor indexed="10"/>
                </patternFill>
              </fill>
            </x14:dxf>
          </x14:cfRule>
          <xm:sqref>X131</xm:sqref>
        </x14:conditionalFormatting>
        <x14:conditionalFormatting xmlns:xm="http://schemas.microsoft.com/office/excel/2006/main">
          <x14:cfRule type="expression" priority="18090" id="{5522EEE5-FBCB-408D-B972-C8E2C079E5BB}">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8091" stopIfTrue="1" id="{A90BC711-5B97-4888-8171-0C75892D8434}">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8092" stopIfTrue="1" id="{F18C59F5-C66C-43EC-8337-36A6D1671257}">
            <xm:f>AND(IF(AE131&lt;'F:\Users\norela.briceno\Documents\Plan de acción\Plan Accion 2018\[Plan Accion Integrado ADRES Vigencia 2018 con Cuadro de Mando V6..xlsx]Plan de Accion 2018'!#REF!,AE131&lt;&gt;"N/A"))</xm:f>
            <x14:dxf>
              <fill>
                <patternFill>
                  <bgColor indexed="10"/>
                </patternFill>
              </fill>
            </x14:dxf>
          </x14:cfRule>
          <xm:sqref>AE131</xm:sqref>
        </x14:conditionalFormatting>
        <x14:conditionalFormatting xmlns:xm="http://schemas.microsoft.com/office/excel/2006/main">
          <x14:cfRule type="expression" priority="17895"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7896"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7897"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7892"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7893"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7894"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7889"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7890"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7891"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7886"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7887"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7888"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7769" id="{9C196013-05AA-43F2-9E0E-6D95119C222C}">
            <xm:f>AND(IF(J204&gt;'F:\Users\norela.briceno\Documents\Plan de acción\Plan Accion 2018\[Plan Accion Integrado ADRES Vigencia 2018 con Cuadro de Mando V6..xlsx]Plan de Accion 2018'!#REF!,J204&lt;&gt;¨N/A¨))</xm:f>
            <x14:dxf>
              <fill>
                <patternFill>
                  <bgColor theme="1" tint="0.499984740745262"/>
                </patternFill>
              </fill>
            </x14:dxf>
          </x14:cfRule>
          <x14:cfRule type="expression" priority="17770" stopIfTrue="1" id="{63764F5A-9338-4711-A8BA-D3DD5FB05B46}">
            <xm:f>AND(IF(J204='F:\Users\norela.briceno\Documents\Plan de acción\Plan Accion 2018\[Plan Accion Integrado ADRES Vigencia 2018 con Cuadro de Mando V6..xlsx]Plan de Accion 2018'!#REF!,J204&lt;&gt;"N/A"))</xm:f>
            <x14:dxf>
              <fill>
                <patternFill>
                  <bgColor rgb="FF00B050"/>
                </patternFill>
              </fill>
            </x14:dxf>
          </x14:cfRule>
          <x14:cfRule type="expression" priority="17771" stopIfTrue="1" id="{851B5CE6-E0A8-400C-AEC8-A237D6E30E63}">
            <xm:f>AND(IF(J204&lt;'F:\Users\norela.briceno\Documents\Plan de acción\Plan Accion 2018\[Plan Accion Integrado ADRES Vigencia 2018 con Cuadro de Mando V6..xlsx]Plan de Accion 2018'!#REF!,J204&lt;&gt;"N/A"))</xm:f>
            <x14:dxf>
              <fill>
                <patternFill>
                  <bgColor indexed="10"/>
                </patternFill>
              </fill>
            </x14:dxf>
          </x14:cfRule>
          <xm:sqref>J204</xm:sqref>
        </x14:conditionalFormatting>
        <x14:conditionalFormatting xmlns:xm="http://schemas.microsoft.com/office/excel/2006/main">
          <x14:cfRule type="expression" priority="17766" id="{341FC693-1156-4021-943E-2961160B3823}">
            <xm:f>AND(IF(Q204&gt;'F:\Users\norela.briceno\Documents\Plan de acción\Plan Accion 2018\[Plan Accion Integrado ADRES Vigencia 2018 con Cuadro de Mando V6..xlsx]Plan de Accion 2018'!#REF!,Q204&lt;&gt;¨N/A¨))</xm:f>
            <x14:dxf>
              <fill>
                <patternFill>
                  <bgColor theme="1" tint="0.499984740745262"/>
                </patternFill>
              </fill>
            </x14:dxf>
          </x14:cfRule>
          <x14:cfRule type="expression" priority="17767" stopIfTrue="1" id="{B9B2E985-FA3E-4116-8433-380602BA9D49}">
            <xm:f>AND(IF(Q204='F:\Users\norela.briceno\Documents\Plan de acción\Plan Accion 2018\[Plan Accion Integrado ADRES Vigencia 2018 con Cuadro de Mando V6..xlsx]Plan de Accion 2018'!#REF!,Q204&lt;&gt;"N/A"))</xm:f>
            <x14:dxf>
              <fill>
                <patternFill>
                  <bgColor rgb="FF00B050"/>
                </patternFill>
              </fill>
            </x14:dxf>
          </x14:cfRule>
          <x14:cfRule type="expression" priority="17768" stopIfTrue="1" id="{21A8C6DB-9543-4D82-AA26-26F7177372D1}">
            <xm:f>AND(IF(Q204&lt;'F:\Users\norela.briceno\Documents\Plan de acción\Plan Accion 2018\[Plan Accion Integrado ADRES Vigencia 2018 con Cuadro de Mando V6..xlsx]Plan de Accion 2018'!#REF!,Q204&lt;&gt;"N/A"))</xm:f>
            <x14:dxf>
              <fill>
                <patternFill>
                  <bgColor indexed="10"/>
                </patternFill>
              </fill>
            </x14:dxf>
          </x14:cfRule>
          <xm:sqref>Q204</xm:sqref>
        </x14:conditionalFormatting>
        <x14:conditionalFormatting xmlns:xm="http://schemas.microsoft.com/office/excel/2006/main">
          <x14:cfRule type="expression" priority="17763" id="{76BC88ED-09F8-4FA0-8D71-6FAB92EC5CF6}">
            <xm:f>AND(IF(X204&gt;'F:\Users\norela.briceno\Documents\Plan de acción\Plan Accion 2018\[Plan Accion Integrado ADRES Vigencia 2018 con Cuadro de Mando V6..xlsx]Plan de Accion 2018'!#REF!,X204&lt;&gt;¨N/A¨))</xm:f>
            <x14:dxf>
              <fill>
                <patternFill>
                  <bgColor theme="1" tint="0.499984740745262"/>
                </patternFill>
              </fill>
            </x14:dxf>
          </x14:cfRule>
          <x14:cfRule type="expression" priority="17764" stopIfTrue="1" id="{B373D37E-134E-48A1-9765-70B7A5089DD3}">
            <xm:f>AND(IF(X204='F:\Users\norela.briceno\Documents\Plan de acción\Plan Accion 2018\[Plan Accion Integrado ADRES Vigencia 2018 con Cuadro de Mando V6..xlsx]Plan de Accion 2018'!#REF!,X204&lt;&gt;"N/A"))</xm:f>
            <x14:dxf>
              <fill>
                <patternFill>
                  <bgColor rgb="FF00B050"/>
                </patternFill>
              </fill>
            </x14:dxf>
          </x14:cfRule>
          <x14:cfRule type="expression" priority="17765" stopIfTrue="1" id="{C23F2251-5E65-4272-BFFB-3EB819B9A7B6}">
            <xm:f>AND(IF(X204&lt;'F:\Users\norela.briceno\Documents\Plan de acción\Plan Accion 2018\[Plan Accion Integrado ADRES Vigencia 2018 con Cuadro de Mando V6..xlsx]Plan de Accion 2018'!#REF!,X204&lt;&gt;"N/A"))</xm:f>
            <x14:dxf>
              <fill>
                <patternFill>
                  <bgColor indexed="10"/>
                </patternFill>
              </fill>
            </x14:dxf>
          </x14:cfRule>
          <xm:sqref>X204</xm:sqref>
        </x14:conditionalFormatting>
        <x14:conditionalFormatting xmlns:xm="http://schemas.microsoft.com/office/excel/2006/main">
          <x14:cfRule type="expression" priority="17760" id="{C8A0AF81-B406-4001-B0F9-84C45F987ACC}">
            <xm:f>AND(IF(AE204&gt;'F:\Users\norela.briceno\Documents\Plan de acción\Plan Accion 2018\[Plan Accion Integrado ADRES Vigencia 2018 con Cuadro de Mando V6..xlsx]Plan de Accion 2018'!#REF!,AE204&lt;&gt;¨N/A¨))</xm:f>
            <x14:dxf>
              <fill>
                <patternFill>
                  <bgColor theme="1" tint="0.499984740745262"/>
                </patternFill>
              </fill>
            </x14:dxf>
          </x14:cfRule>
          <x14:cfRule type="expression" priority="17761" stopIfTrue="1" id="{A89D0368-94AE-4C3D-A834-842860137D7C}">
            <xm:f>AND(IF(AE204='F:\Users\norela.briceno\Documents\Plan de acción\Plan Accion 2018\[Plan Accion Integrado ADRES Vigencia 2018 con Cuadro de Mando V6..xlsx]Plan de Accion 2018'!#REF!,AE204&lt;&gt;"N/A"))</xm:f>
            <x14:dxf>
              <fill>
                <patternFill>
                  <bgColor rgb="FF00B050"/>
                </patternFill>
              </fill>
            </x14:dxf>
          </x14:cfRule>
          <x14:cfRule type="expression" priority="17762" stopIfTrue="1" id="{7A602386-689F-4A45-AF0A-8271AFC80BB5}">
            <xm:f>AND(IF(AE204&lt;'F:\Users\norela.briceno\Documents\Plan de acción\Plan Accion 2018\[Plan Accion Integrado ADRES Vigencia 2018 con Cuadro de Mando V6..xlsx]Plan de Accion 2018'!#REF!,AE204&lt;&gt;"N/A"))</xm:f>
            <x14:dxf>
              <fill>
                <patternFill>
                  <bgColor indexed="10"/>
                </patternFill>
              </fill>
            </x14:dxf>
          </x14:cfRule>
          <xm:sqref>AE204</xm:sqref>
        </x14:conditionalFormatting>
        <x14:conditionalFormatting xmlns:xm="http://schemas.microsoft.com/office/excel/2006/main">
          <x14:cfRule type="expression" priority="17692" id="{0D4417A6-400F-414B-AF05-A05F03FD012D}">
            <xm:f>AND(IF(J134&gt;'F:\Users\norela.briceno\Documents\Plan de acción\Plan Accion 2018\[Plan Accion Integrado ADRES Vigencia 2018 con Cuadro de Mando V6..xlsx]Plan de Accion 2018'!#REF!,J134&lt;&gt;¨N/A¨))</xm:f>
            <x14:dxf>
              <fill>
                <patternFill>
                  <bgColor theme="1" tint="0.499984740745262"/>
                </patternFill>
              </fill>
            </x14:dxf>
          </x14:cfRule>
          <x14:cfRule type="expression" priority="17693" stopIfTrue="1" id="{C7ECAE34-A11F-4E2E-A007-01D7E18B19B8}">
            <xm:f>AND(IF(J134='F:\Users\norela.briceno\Documents\Plan de acción\Plan Accion 2018\[Plan Accion Integrado ADRES Vigencia 2018 con Cuadro de Mando V6..xlsx]Plan de Accion 2018'!#REF!,J134&lt;&gt;"N/A"))</xm:f>
            <x14:dxf>
              <fill>
                <patternFill>
                  <bgColor rgb="FF00B050"/>
                </patternFill>
              </fill>
            </x14:dxf>
          </x14:cfRule>
          <x14:cfRule type="expression" priority="17694" stopIfTrue="1" id="{F4F94C31-E482-412C-8F5A-EB9144BC2AAF}">
            <xm:f>AND(IF(J134&lt;'F:\Users\norela.briceno\Documents\Plan de acción\Plan Accion 2018\[Plan Accion Integrado ADRES Vigencia 2018 con Cuadro de Mando V6..xlsx]Plan de Accion 2018'!#REF!,J134&lt;&gt;"N/A"))</xm:f>
            <x14:dxf>
              <fill>
                <patternFill>
                  <bgColor indexed="10"/>
                </patternFill>
              </fill>
            </x14:dxf>
          </x14:cfRule>
          <xm:sqref>J134</xm:sqref>
        </x14:conditionalFormatting>
        <x14:conditionalFormatting xmlns:xm="http://schemas.microsoft.com/office/excel/2006/main">
          <x14:cfRule type="expression" priority="17689" id="{CADA4FEF-25E8-4E24-8676-86544C72E810}">
            <xm:f>AND(IF(Q134&gt;'F:\Users\norela.briceno\Documents\Plan de acción\Plan Accion 2018\[Plan Accion Integrado ADRES Vigencia 2018 con Cuadro de Mando V6..xlsx]Plan de Accion 2018'!#REF!,Q134&lt;&gt;¨N/A¨))</xm:f>
            <x14:dxf>
              <fill>
                <patternFill>
                  <bgColor theme="1" tint="0.499984740745262"/>
                </patternFill>
              </fill>
            </x14:dxf>
          </x14:cfRule>
          <x14:cfRule type="expression" priority="17690" stopIfTrue="1" id="{28E8BD35-B36C-4F0D-A360-0D02D95F1B70}">
            <xm:f>AND(IF(Q134='F:\Users\norela.briceno\Documents\Plan de acción\Plan Accion 2018\[Plan Accion Integrado ADRES Vigencia 2018 con Cuadro de Mando V6..xlsx]Plan de Accion 2018'!#REF!,Q134&lt;&gt;"N/A"))</xm:f>
            <x14:dxf>
              <fill>
                <patternFill>
                  <bgColor rgb="FF00B050"/>
                </patternFill>
              </fill>
            </x14:dxf>
          </x14:cfRule>
          <x14:cfRule type="expression" priority="17691" stopIfTrue="1" id="{D64F186C-9B47-4C0B-A8DE-63494E1FD7C2}">
            <xm:f>AND(IF(Q134&lt;'F:\Users\norela.briceno\Documents\Plan de acción\Plan Accion 2018\[Plan Accion Integrado ADRES Vigencia 2018 con Cuadro de Mando V6..xlsx]Plan de Accion 2018'!#REF!,Q134&lt;&gt;"N/A"))</xm:f>
            <x14:dxf>
              <fill>
                <patternFill>
                  <bgColor indexed="10"/>
                </patternFill>
              </fill>
            </x14:dxf>
          </x14:cfRule>
          <xm:sqref>Q134</xm:sqref>
        </x14:conditionalFormatting>
        <x14:conditionalFormatting xmlns:xm="http://schemas.microsoft.com/office/excel/2006/main">
          <x14:cfRule type="expression" priority="17686" id="{916BAD03-218B-4F7F-B26D-FBB96C6BC100}">
            <xm:f>AND(IF(X134&gt;'F:\Users\norela.briceno\Documents\Plan de acción\Plan Accion 2018\[Plan Accion Integrado ADRES Vigencia 2018 con Cuadro de Mando V6..xlsx]Plan de Accion 2018'!#REF!,X134&lt;&gt;¨N/A¨))</xm:f>
            <x14:dxf>
              <fill>
                <patternFill>
                  <bgColor theme="1" tint="0.499984740745262"/>
                </patternFill>
              </fill>
            </x14:dxf>
          </x14:cfRule>
          <x14:cfRule type="expression" priority="17687" stopIfTrue="1" id="{B2C86A9C-5C41-4F62-993C-DC1850EA9160}">
            <xm:f>AND(IF(X134='F:\Users\norela.briceno\Documents\Plan de acción\Plan Accion 2018\[Plan Accion Integrado ADRES Vigencia 2018 con Cuadro de Mando V6..xlsx]Plan de Accion 2018'!#REF!,X134&lt;&gt;"N/A"))</xm:f>
            <x14:dxf>
              <fill>
                <patternFill>
                  <bgColor rgb="FF00B050"/>
                </patternFill>
              </fill>
            </x14:dxf>
          </x14:cfRule>
          <x14:cfRule type="expression" priority="17688" stopIfTrue="1" id="{9E9B88CC-13D9-49FC-BCA5-FDB64E41CFDC}">
            <xm:f>AND(IF(X134&lt;'F:\Users\norela.briceno\Documents\Plan de acción\Plan Accion 2018\[Plan Accion Integrado ADRES Vigencia 2018 con Cuadro de Mando V6..xlsx]Plan de Accion 2018'!#REF!,X134&lt;&gt;"N/A"))</xm:f>
            <x14:dxf>
              <fill>
                <patternFill>
                  <bgColor indexed="10"/>
                </patternFill>
              </fill>
            </x14:dxf>
          </x14:cfRule>
          <xm:sqref>X134</xm:sqref>
        </x14:conditionalFormatting>
        <x14:conditionalFormatting xmlns:xm="http://schemas.microsoft.com/office/excel/2006/main">
          <x14:cfRule type="expression" priority="17683" id="{BC80802F-3823-4966-A485-F89AC784156B}">
            <xm:f>AND(IF(AE134&gt;'F:\Users\norela.briceno\Documents\Plan de acción\Plan Accion 2018\[Plan Accion Integrado ADRES Vigencia 2018 con Cuadro de Mando V6..xlsx]Plan de Accion 2018'!#REF!,AE134&lt;&gt;¨N/A¨))</xm:f>
            <x14:dxf>
              <fill>
                <patternFill>
                  <bgColor theme="1" tint="0.499984740745262"/>
                </patternFill>
              </fill>
            </x14:dxf>
          </x14:cfRule>
          <x14:cfRule type="expression" priority="17684" stopIfTrue="1" id="{79D950C5-B447-4581-A6B3-6FB2DCC01E85}">
            <xm:f>AND(IF(AE134='F:\Users\norela.briceno\Documents\Plan de acción\Plan Accion 2018\[Plan Accion Integrado ADRES Vigencia 2018 con Cuadro de Mando V6..xlsx]Plan de Accion 2018'!#REF!,AE134&lt;&gt;"N/A"))</xm:f>
            <x14:dxf>
              <fill>
                <patternFill>
                  <bgColor rgb="FF00B050"/>
                </patternFill>
              </fill>
            </x14:dxf>
          </x14:cfRule>
          <x14:cfRule type="expression" priority="17685" stopIfTrue="1" id="{FB9041D3-8102-4278-B37C-D4B90A483650}">
            <xm:f>AND(IF(AE134&lt;'F:\Users\norela.briceno\Documents\Plan de acción\Plan Accion 2018\[Plan Accion Integrado ADRES Vigencia 2018 con Cuadro de Mando V6..xlsx]Plan de Accion 2018'!#REF!,AE134&lt;&gt;"N/A"))</xm:f>
            <x14:dxf>
              <fill>
                <patternFill>
                  <bgColor indexed="10"/>
                </patternFill>
              </fill>
            </x14:dxf>
          </x14:cfRule>
          <xm:sqref>AE134</xm:sqref>
        </x14:conditionalFormatting>
        <x14:conditionalFormatting xmlns:xm="http://schemas.microsoft.com/office/excel/2006/main">
          <x14:cfRule type="expression" priority="17620"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7621"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7622"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7617"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7618"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7619"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7614"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7615"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7616"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7611"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7612"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7613"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7548"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7549"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7550"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7545"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7546"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7547"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7542"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7543"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7544"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7539"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7540"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7541"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7374" id="{313B1168-59D5-41A1-ABFB-BF585C458BFC}">
            <xm:f>AND(IF(J136&gt;'F:\Users\norela.briceno\Documents\Plan de acción\Plan Accion 2018\[Plan Accion Integrado ADRES Vigencia 2018 con Cuadro de Mando V6..xlsx]Plan de Accion 2018'!#REF!,J136&lt;&gt;¨N/A¨))</xm:f>
            <x14:dxf>
              <fill>
                <patternFill>
                  <bgColor theme="1" tint="0.499984740745262"/>
                </patternFill>
              </fill>
            </x14:dxf>
          </x14:cfRule>
          <x14:cfRule type="expression" priority="17375" stopIfTrue="1" id="{C1B798F1-86D5-4D62-9626-F867F3DF00D8}">
            <xm:f>AND(IF(J136='F:\Users\norela.briceno\Documents\Plan de acción\Plan Accion 2018\[Plan Accion Integrado ADRES Vigencia 2018 con Cuadro de Mando V6..xlsx]Plan de Accion 2018'!#REF!,J136&lt;&gt;"N/A"))</xm:f>
            <x14:dxf>
              <fill>
                <patternFill>
                  <bgColor rgb="FF00B050"/>
                </patternFill>
              </fill>
            </x14:dxf>
          </x14:cfRule>
          <x14:cfRule type="expression" priority="17376" stopIfTrue="1" id="{107A7545-BE5E-47BD-AFEA-F41828694E53}">
            <xm:f>AND(IF(J136&lt;'F:\Users\norela.briceno\Documents\Plan de acción\Plan Accion 2018\[Plan Accion Integrado ADRES Vigencia 2018 con Cuadro de Mando V6..xlsx]Plan de Accion 2018'!#REF!,J136&lt;&gt;"N/A"))</xm:f>
            <x14:dxf>
              <fill>
                <patternFill>
                  <bgColor indexed="10"/>
                </patternFill>
              </fill>
            </x14:dxf>
          </x14:cfRule>
          <xm:sqref>J136</xm:sqref>
        </x14:conditionalFormatting>
        <x14:conditionalFormatting xmlns:xm="http://schemas.microsoft.com/office/excel/2006/main">
          <x14:cfRule type="expression" priority="17225"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7226"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7227"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7222"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7223"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7224"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7219"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7220"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7221"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7216"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7217"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7218"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7153"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7154"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7155"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7150"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7151"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7152"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7147"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7148"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7149"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7144"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7145"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7146"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7076" id="{47A36DA8-DEE6-4662-9533-F961EDA84054}">
            <xm:f>AND(IF(J141&gt;'F:\Users\norela.briceno\Documents\Plan de acción\Plan Accion 2018\[Plan Accion Integrado ADRES Vigencia 2018 con Cuadro de Mando V6..xlsx]Plan de Accion 2018'!#REF!,J141&lt;&gt;¨N/A¨))</xm:f>
            <x14:dxf>
              <fill>
                <patternFill>
                  <bgColor theme="1" tint="0.499984740745262"/>
                </patternFill>
              </fill>
            </x14:dxf>
          </x14:cfRule>
          <x14:cfRule type="expression" priority="17077" stopIfTrue="1" id="{CF0F8BD8-D3EC-466E-8420-04AE4D50761E}">
            <xm:f>AND(IF(J141='F:\Users\norela.briceno\Documents\Plan de acción\Plan Accion 2018\[Plan Accion Integrado ADRES Vigencia 2018 con Cuadro de Mando V6..xlsx]Plan de Accion 2018'!#REF!,J141&lt;&gt;"N/A"))</xm:f>
            <x14:dxf>
              <fill>
                <patternFill>
                  <bgColor rgb="FF00B050"/>
                </patternFill>
              </fill>
            </x14:dxf>
          </x14:cfRule>
          <x14:cfRule type="expression" priority="17078" stopIfTrue="1" id="{4FDA5B06-A18D-4A5C-AFC4-ABE06188B13F}">
            <xm:f>AND(IF(J141&lt;'F:\Users\norela.briceno\Documents\Plan de acción\Plan Accion 2018\[Plan Accion Integrado ADRES Vigencia 2018 con Cuadro de Mando V6..xlsx]Plan de Accion 2018'!#REF!,J141&lt;&gt;"N/A"))</xm:f>
            <x14:dxf>
              <fill>
                <patternFill>
                  <bgColor indexed="10"/>
                </patternFill>
              </fill>
            </x14:dxf>
          </x14:cfRule>
          <xm:sqref>J141:J142 J144</xm:sqref>
        </x14:conditionalFormatting>
        <x14:conditionalFormatting xmlns:xm="http://schemas.microsoft.com/office/excel/2006/main">
          <x14:cfRule type="expression" priority="17073" id="{3A0EF18A-B871-4828-AE40-7520050855C6}">
            <xm:f>AND(IF(Q141&gt;'F:\Users\norela.briceno\Documents\Plan de acción\Plan Accion 2018\[Plan Accion Integrado ADRES Vigencia 2018 con Cuadro de Mando V6..xlsx]Plan de Accion 2018'!#REF!,Q141&lt;&gt;¨N/A¨))</xm:f>
            <x14:dxf>
              <fill>
                <patternFill>
                  <bgColor theme="1" tint="0.499984740745262"/>
                </patternFill>
              </fill>
            </x14:dxf>
          </x14:cfRule>
          <x14:cfRule type="expression" priority="17074" stopIfTrue="1" id="{0ADF8710-E297-46D9-B80F-AD638DBA8694}">
            <xm:f>AND(IF(Q141='F:\Users\norela.briceno\Documents\Plan de acción\Plan Accion 2018\[Plan Accion Integrado ADRES Vigencia 2018 con Cuadro de Mando V6..xlsx]Plan de Accion 2018'!#REF!,Q141&lt;&gt;"N/A"))</xm:f>
            <x14:dxf>
              <fill>
                <patternFill>
                  <bgColor rgb="FF00B050"/>
                </patternFill>
              </fill>
            </x14:dxf>
          </x14:cfRule>
          <x14:cfRule type="expression" priority="17075" stopIfTrue="1" id="{DDBDA99C-F658-4605-8516-FCBE8467DC0F}">
            <xm:f>AND(IF(Q141&lt;'F:\Users\norela.briceno\Documents\Plan de acción\Plan Accion 2018\[Plan Accion Integrado ADRES Vigencia 2018 con Cuadro de Mando V6..xlsx]Plan de Accion 2018'!#REF!,Q141&lt;&gt;"N/A"))</xm:f>
            <x14:dxf>
              <fill>
                <patternFill>
                  <bgColor indexed="10"/>
                </patternFill>
              </fill>
            </x14:dxf>
          </x14:cfRule>
          <xm:sqref>Q141:Q142 Q144</xm:sqref>
        </x14:conditionalFormatting>
        <x14:conditionalFormatting xmlns:xm="http://schemas.microsoft.com/office/excel/2006/main">
          <x14:cfRule type="expression" priority="17070" id="{9743637B-3577-47F2-B332-54ACF2828492}">
            <xm:f>AND(IF(X141&gt;'F:\Users\norela.briceno\Documents\Plan de acción\Plan Accion 2018\[Plan Accion Integrado ADRES Vigencia 2018 con Cuadro de Mando V6..xlsx]Plan de Accion 2018'!#REF!,X141&lt;&gt;¨N/A¨))</xm:f>
            <x14:dxf>
              <fill>
                <patternFill>
                  <bgColor theme="1" tint="0.499984740745262"/>
                </patternFill>
              </fill>
            </x14:dxf>
          </x14:cfRule>
          <x14:cfRule type="expression" priority="17071" stopIfTrue="1" id="{931BBBC9-1706-4AC9-8152-9A34297A9AB7}">
            <xm:f>AND(IF(X141='F:\Users\norela.briceno\Documents\Plan de acción\Plan Accion 2018\[Plan Accion Integrado ADRES Vigencia 2018 con Cuadro de Mando V6..xlsx]Plan de Accion 2018'!#REF!,X141&lt;&gt;"N/A"))</xm:f>
            <x14:dxf>
              <fill>
                <patternFill>
                  <bgColor rgb="FF00B050"/>
                </patternFill>
              </fill>
            </x14:dxf>
          </x14:cfRule>
          <x14:cfRule type="expression" priority="17072" stopIfTrue="1" id="{49EFC321-026A-4439-9042-826A3D9217A0}">
            <xm:f>AND(IF(X141&lt;'F:\Users\norela.briceno\Documents\Plan de acción\Plan Accion 2018\[Plan Accion Integrado ADRES Vigencia 2018 con Cuadro de Mando V6..xlsx]Plan de Accion 2018'!#REF!,X141&lt;&gt;"N/A"))</xm:f>
            <x14:dxf>
              <fill>
                <patternFill>
                  <bgColor indexed="10"/>
                </patternFill>
              </fill>
            </x14:dxf>
          </x14:cfRule>
          <xm:sqref>X141:X142 X144</xm:sqref>
        </x14:conditionalFormatting>
        <x14:conditionalFormatting xmlns:xm="http://schemas.microsoft.com/office/excel/2006/main">
          <x14:cfRule type="expression" priority="17067" id="{3B0ED06F-A5D0-4CF9-9388-2CF946D3167B}">
            <xm:f>AND(IF(AE141&gt;'F:\Users\norela.briceno\Documents\Plan de acción\Plan Accion 2018\[Plan Accion Integrado ADRES Vigencia 2018 con Cuadro de Mando V6..xlsx]Plan de Accion 2018'!#REF!,AE141&lt;&gt;¨N/A¨))</xm:f>
            <x14:dxf>
              <fill>
                <patternFill>
                  <bgColor theme="1" tint="0.499984740745262"/>
                </patternFill>
              </fill>
            </x14:dxf>
          </x14:cfRule>
          <x14:cfRule type="expression" priority="17068" stopIfTrue="1" id="{45AA29E1-BF58-4418-8C28-C617ACCFAF58}">
            <xm:f>AND(IF(AE141='F:\Users\norela.briceno\Documents\Plan de acción\Plan Accion 2018\[Plan Accion Integrado ADRES Vigencia 2018 con Cuadro de Mando V6..xlsx]Plan de Accion 2018'!#REF!,AE141&lt;&gt;"N/A"))</xm:f>
            <x14:dxf>
              <fill>
                <patternFill>
                  <bgColor rgb="FF00B050"/>
                </patternFill>
              </fill>
            </x14:dxf>
          </x14:cfRule>
          <x14:cfRule type="expression" priority="17069" stopIfTrue="1" id="{EFF5CC4C-27B1-4339-ABE6-0E9B7DB15655}">
            <xm:f>AND(IF(AE141&lt;'F:\Users\norela.briceno\Documents\Plan de acción\Plan Accion 2018\[Plan Accion Integrado ADRES Vigencia 2018 con Cuadro de Mando V6..xlsx]Plan de Accion 2018'!#REF!,AE141&lt;&gt;"N/A"))</xm:f>
            <x14:dxf>
              <fill>
                <patternFill>
                  <bgColor indexed="10"/>
                </patternFill>
              </fill>
            </x14:dxf>
          </x14:cfRule>
          <xm:sqref>AE141:AE142 AE144</xm:sqref>
        </x14:conditionalFormatting>
        <x14:conditionalFormatting xmlns:xm="http://schemas.microsoft.com/office/excel/2006/main">
          <x14:cfRule type="expression" priority="16979" id="{21A64BE4-ACED-4979-B0B4-FBCFE92724B5}">
            <xm:f>AND(IF(J206&gt;'F:\Users\norela.briceno\Documents\Plan de acción\Plan Accion 2018\[Plan Accion Integrado ADRES Vigencia 2018 con Cuadro de Mando V6..xlsx]Plan de Accion 2018'!#REF!,J206&lt;&gt;¨N/A¨))</xm:f>
            <x14:dxf>
              <fill>
                <patternFill>
                  <bgColor theme="1" tint="0.499984740745262"/>
                </patternFill>
              </fill>
            </x14:dxf>
          </x14:cfRule>
          <x14:cfRule type="expression" priority="16980" stopIfTrue="1" id="{6FE0532C-0FC4-438D-9C0A-848A372554B0}">
            <xm:f>AND(IF(J206='F:\Users\norela.briceno\Documents\Plan de acción\Plan Accion 2018\[Plan Accion Integrado ADRES Vigencia 2018 con Cuadro de Mando V6..xlsx]Plan de Accion 2018'!#REF!,J206&lt;&gt;"N/A"))</xm:f>
            <x14:dxf>
              <fill>
                <patternFill>
                  <bgColor rgb="FF00B050"/>
                </patternFill>
              </fill>
            </x14:dxf>
          </x14:cfRule>
          <x14:cfRule type="expression" priority="16981" stopIfTrue="1" id="{ABBA859D-5D9D-4583-8510-0AC977CFFB25}">
            <xm:f>AND(IF(J206&lt;'F:\Users\norela.briceno\Documents\Plan de acción\Plan Accion 2018\[Plan Accion Integrado ADRES Vigencia 2018 con Cuadro de Mando V6..xlsx]Plan de Accion 2018'!#REF!,J206&lt;&gt;"N/A"))</xm:f>
            <x14:dxf>
              <fill>
                <patternFill>
                  <bgColor indexed="10"/>
                </patternFill>
              </fill>
            </x14:dxf>
          </x14:cfRule>
          <xm:sqref>J206</xm:sqref>
        </x14:conditionalFormatting>
        <x14:conditionalFormatting xmlns:xm="http://schemas.microsoft.com/office/excel/2006/main">
          <x14:cfRule type="expression" priority="16976" id="{F016FA6B-D594-43D2-A5C3-DC39C05E508F}">
            <xm:f>AND(IF(Q206&gt;'F:\Users\norela.briceno\Documents\Plan de acción\Plan Accion 2018\[Plan Accion Integrado ADRES Vigencia 2018 con Cuadro de Mando V6..xlsx]Plan de Accion 2018'!#REF!,Q206&lt;&gt;¨N/A¨))</xm:f>
            <x14:dxf>
              <fill>
                <patternFill>
                  <bgColor theme="1" tint="0.499984740745262"/>
                </patternFill>
              </fill>
            </x14:dxf>
          </x14:cfRule>
          <x14:cfRule type="expression" priority="16977" stopIfTrue="1" id="{D18AEB55-1586-48BC-8CD2-C1C043CACFB2}">
            <xm:f>AND(IF(Q206='F:\Users\norela.briceno\Documents\Plan de acción\Plan Accion 2018\[Plan Accion Integrado ADRES Vigencia 2018 con Cuadro de Mando V6..xlsx]Plan de Accion 2018'!#REF!,Q206&lt;&gt;"N/A"))</xm:f>
            <x14:dxf>
              <fill>
                <patternFill>
                  <bgColor rgb="FF00B050"/>
                </patternFill>
              </fill>
            </x14:dxf>
          </x14:cfRule>
          <x14:cfRule type="expression" priority="16978" stopIfTrue="1" id="{4332E935-F38E-40CA-923F-82B7A94EAA61}">
            <xm:f>AND(IF(Q206&lt;'F:\Users\norela.briceno\Documents\Plan de acción\Plan Accion 2018\[Plan Accion Integrado ADRES Vigencia 2018 con Cuadro de Mando V6..xlsx]Plan de Accion 2018'!#REF!,Q206&lt;&gt;"N/A"))</xm:f>
            <x14:dxf>
              <fill>
                <patternFill>
                  <bgColor indexed="10"/>
                </patternFill>
              </fill>
            </x14:dxf>
          </x14:cfRule>
          <xm:sqref>Q206</xm:sqref>
        </x14:conditionalFormatting>
        <x14:conditionalFormatting xmlns:xm="http://schemas.microsoft.com/office/excel/2006/main">
          <x14:cfRule type="expression" priority="16973" id="{B354AB35-7FB3-4AD1-9A1A-1CF46F923E62}">
            <xm:f>AND(IF(X206&gt;'F:\Users\norela.briceno\Documents\Plan de acción\Plan Accion 2018\[Plan Accion Integrado ADRES Vigencia 2018 con Cuadro de Mando V6..xlsx]Plan de Accion 2018'!#REF!,X206&lt;&gt;¨N/A¨))</xm:f>
            <x14:dxf>
              <fill>
                <patternFill>
                  <bgColor theme="1" tint="0.499984740745262"/>
                </patternFill>
              </fill>
            </x14:dxf>
          </x14:cfRule>
          <x14:cfRule type="expression" priority="16974" stopIfTrue="1" id="{B36353BA-CD19-465C-8A8F-E03F5B5140F7}">
            <xm:f>AND(IF(X206='F:\Users\norela.briceno\Documents\Plan de acción\Plan Accion 2018\[Plan Accion Integrado ADRES Vigencia 2018 con Cuadro de Mando V6..xlsx]Plan de Accion 2018'!#REF!,X206&lt;&gt;"N/A"))</xm:f>
            <x14:dxf>
              <fill>
                <patternFill>
                  <bgColor rgb="FF00B050"/>
                </patternFill>
              </fill>
            </x14:dxf>
          </x14:cfRule>
          <x14:cfRule type="expression" priority="16975" stopIfTrue="1" id="{74D3E9BC-0DBC-40D5-B1BB-DD492EA00BBC}">
            <xm:f>AND(IF(X206&lt;'F:\Users\norela.briceno\Documents\Plan de acción\Plan Accion 2018\[Plan Accion Integrado ADRES Vigencia 2018 con Cuadro de Mando V6..xlsx]Plan de Accion 2018'!#REF!,X206&lt;&gt;"N/A"))</xm:f>
            <x14:dxf>
              <fill>
                <patternFill>
                  <bgColor indexed="10"/>
                </patternFill>
              </fill>
            </x14:dxf>
          </x14:cfRule>
          <xm:sqref>X206</xm:sqref>
        </x14:conditionalFormatting>
        <x14:conditionalFormatting xmlns:xm="http://schemas.microsoft.com/office/excel/2006/main">
          <x14:cfRule type="expression" priority="16970" id="{5492AA5F-744D-4654-AA1B-5E5DF5DC73F2}">
            <xm:f>AND(IF(AE206&gt;'F:\Users\norela.briceno\Documents\Plan de acción\Plan Accion 2018\[Plan Accion Integrado ADRES Vigencia 2018 con Cuadro de Mando V6..xlsx]Plan de Accion 2018'!#REF!,AE206&lt;&gt;¨N/A¨))</xm:f>
            <x14:dxf>
              <fill>
                <patternFill>
                  <bgColor theme="1" tint="0.499984740745262"/>
                </patternFill>
              </fill>
            </x14:dxf>
          </x14:cfRule>
          <x14:cfRule type="expression" priority="16971" stopIfTrue="1" id="{FA6E0F06-0199-4F30-B46B-D62A3AC932D4}">
            <xm:f>AND(IF(AE206='F:\Users\norela.briceno\Documents\Plan de acción\Plan Accion 2018\[Plan Accion Integrado ADRES Vigencia 2018 con Cuadro de Mando V6..xlsx]Plan de Accion 2018'!#REF!,AE206&lt;&gt;"N/A"))</xm:f>
            <x14:dxf>
              <fill>
                <patternFill>
                  <bgColor rgb="FF00B050"/>
                </patternFill>
              </fill>
            </x14:dxf>
          </x14:cfRule>
          <x14:cfRule type="expression" priority="16972" stopIfTrue="1" id="{64A94578-E64D-4994-90BF-30C196694C3B}">
            <xm:f>AND(IF(AE206&lt;'F:\Users\norela.briceno\Documents\Plan de acción\Plan Accion 2018\[Plan Accion Integrado ADRES Vigencia 2018 con Cuadro de Mando V6..xlsx]Plan de Accion 2018'!#REF!,AE206&lt;&gt;"N/A"))</xm:f>
            <x14:dxf>
              <fill>
                <patternFill>
                  <bgColor indexed="10"/>
                </patternFill>
              </fill>
            </x14:dxf>
          </x14:cfRule>
          <xm:sqref>AE206</xm:sqref>
        </x14:conditionalFormatting>
        <x14:conditionalFormatting xmlns:xm="http://schemas.microsoft.com/office/excel/2006/main">
          <x14:cfRule type="expression" priority="16907"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6908"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6909"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6904"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6905"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6906"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6901"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6902"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6903"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6898"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6899"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6900"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6763"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6764"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6765"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6760"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6761"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6762"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6757"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6758"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6759"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6754"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6755"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6756"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6686" id="{A87E6FCD-5F0C-40D2-B4BF-B63ACE0EF787}">
            <xm:f>AND(IF(J145&gt;'F:\Users\norela.briceno\Documents\Plan de acción\Plan Accion 2018\[Plan Accion Integrado ADRES Vigencia 2018 con Cuadro de Mando V6..xlsx]Plan de Accion 2018'!#REF!,J145&lt;&gt;¨N/A¨))</xm:f>
            <x14:dxf>
              <fill>
                <patternFill>
                  <bgColor theme="1" tint="0.499984740745262"/>
                </patternFill>
              </fill>
            </x14:dxf>
          </x14:cfRule>
          <x14:cfRule type="expression" priority="16687" stopIfTrue="1" id="{3BD59B1D-FC30-4C59-A038-D5A4CFE3F6CD}">
            <xm:f>AND(IF(J145='F:\Users\norela.briceno\Documents\Plan de acción\Plan Accion 2018\[Plan Accion Integrado ADRES Vigencia 2018 con Cuadro de Mando V6..xlsx]Plan de Accion 2018'!#REF!,J145&lt;&gt;"N/A"))</xm:f>
            <x14:dxf>
              <fill>
                <patternFill>
                  <bgColor rgb="FF00B050"/>
                </patternFill>
              </fill>
            </x14:dxf>
          </x14:cfRule>
          <x14:cfRule type="expression" priority="16688" stopIfTrue="1" id="{0BE6BA58-CADF-4A78-AFC9-0681FB15D8AD}">
            <xm:f>AND(IF(J145&lt;'F:\Users\norela.briceno\Documents\Plan de acción\Plan Accion 2018\[Plan Accion Integrado ADRES Vigencia 2018 con Cuadro de Mando V6..xlsx]Plan de Accion 2018'!#REF!,J145&lt;&gt;"N/A"))</xm:f>
            <x14:dxf>
              <fill>
                <patternFill>
                  <bgColor indexed="10"/>
                </patternFill>
              </fill>
            </x14:dxf>
          </x14:cfRule>
          <xm:sqref>J145</xm:sqref>
        </x14:conditionalFormatting>
        <x14:conditionalFormatting xmlns:xm="http://schemas.microsoft.com/office/excel/2006/main">
          <x14:cfRule type="expression" priority="16683" id="{BD5EF62B-B7FD-4973-BC9B-3690B1B5808D}">
            <xm:f>AND(IF(Q145&gt;'F:\Users\norela.briceno\Documents\Plan de acción\Plan Accion 2018\[Plan Accion Integrado ADRES Vigencia 2018 con Cuadro de Mando V6..xlsx]Plan de Accion 2018'!#REF!,Q145&lt;&gt;¨N/A¨))</xm:f>
            <x14:dxf>
              <fill>
                <patternFill>
                  <bgColor theme="1" tint="0.499984740745262"/>
                </patternFill>
              </fill>
            </x14:dxf>
          </x14:cfRule>
          <x14:cfRule type="expression" priority="16684" stopIfTrue="1" id="{A9BB534A-5C93-4B86-8B78-0E9826EFCF49}">
            <xm:f>AND(IF(Q145='F:\Users\norela.briceno\Documents\Plan de acción\Plan Accion 2018\[Plan Accion Integrado ADRES Vigencia 2018 con Cuadro de Mando V6..xlsx]Plan de Accion 2018'!#REF!,Q145&lt;&gt;"N/A"))</xm:f>
            <x14:dxf>
              <fill>
                <patternFill>
                  <bgColor rgb="FF00B050"/>
                </patternFill>
              </fill>
            </x14:dxf>
          </x14:cfRule>
          <x14:cfRule type="expression" priority="16685" stopIfTrue="1" id="{7A1ECE43-508A-49CF-B16F-B96CCC2C64F3}">
            <xm:f>AND(IF(Q145&lt;'F:\Users\norela.briceno\Documents\Plan de acción\Plan Accion 2018\[Plan Accion Integrado ADRES Vigencia 2018 con Cuadro de Mando V6..xlsx]Plan de Accion 2018'!#REF!,Q145&lt;&gt;"N/A"))</xm:f>
            <x14:dxf>
              <fill>
                <patternFill>
                  <bgColor indexed="10"/>
                </patternFill>
              </fill>
            </x14:dxf>
          </x14:cfRule>
          <xm:sqref>Q145</xm:sqref>
        </x14:conditionalFormatting>
        <x14:conditionalFormatting xmlns:xm="http://schemas.microsoft.com/office/excel/2006/main">
          <x14:cfRule type="expression" priority="16680" id="{C694BEB1-75A0-4782-910D-93CAFBD09EF3}">
            <xm:f>AND(IF(X145&gt;'F:\Users\norela.briceno\Documents\Plan de acción\Plan Accion 2018\[Plan Accion Integrado ADRES Vigencia 2018 con Cuadro de Mando V6..xlsx]Plan de Accion 2018'!#REF!,X145&lt;&gt;¨N/A¨))</xm:f>
            <x14:dxf>
              <fill>
                <patternFill>
                  <bgColor theme="1" tint="0.499984740745262"/>
                </patternFill>
              </fill>
            </x14:dxf>
          </x14:cfRule>
          <x14:cfRule type="expression" priority="16681" stopIfTrue="1" id="{355C1014-79FB-4621-8B09-419D88257DC1}">
            <xm:f>AND(IF(X145='F:\Users\norela.briceno\Documents\Plan de acción\Plan Accion 2018\[Plan Accion Integrado ADRES Vigencia 2018 con Cuadro de Mando V6..xlsx]Plan de Accion 2018'!#REF!,X145&lt;&gt;"N/A"))</xm:f>
            <x14:dxf>
              <fill>
                <patternFill>
                  <bgColor rgb="FF00B050"/>
                </patternFill>
              </fill>
            </x14:dxf>
          </x14:cfRule>
          <x14:cfRule type="expression" priority="16682" stopIfTrue="1" id="{5233D594-23B7-4E3C-AEDC-F5B7A38D912B}">
            <xm:f>AND(IF(X145&lt;'F:\Users\norela.briceno\Documents\Plan de acción\Plan Accion 2018\[Plan Accion Integrado ADRES Vigencia 2018 con Cuadro de Mando V6..xlsx]Plan de Accion 2018'!#REF!,X145&lt;&gt;"N/A"))</xm:f>
            <x14:dxf>
              <fill>
                <patternFill>
                  <bgColor indexed="10"/>
                </patternFill>
              </fill>
            </x14:dxf>
          </x14:cfRule>
          <xm:sqref>X145</xm:sqref>
        </x14:conditionalFormatting>
        <x14:conditionalFormatting xmlns:xm="http://schemas.microsoft.com/office/excel/2006/main">
          <x14:cfRule type="expression" priority="16677" id="{61169590-D504-442D-9322-863D51CA0D6F}">
            <xm:f>AND(IF(AE145&gt;'F:\Users\norela.briceno\Documents\Plan de acción\Plan Accion 2018\[Plan Accion Integrado ADRES Vigencia 2018 con Cuadro de Mando V6..xlsx]Plan de Accion 2018'!#REF!,AE145&lt;&gt;¨N/A¨))</xm:f>
            <x14:dxf>
              <fill>
                <patternFill>
                  <bgColor theme="1" tint="0.499984740745262"/>
                </patternFill>
              </fill>
            </x14:dxf>
          </x14:cfRule>
          <x14:cfRule type="expression" priority="16678" stopIfTrue="1" id="{102F8A46-CEEC-4990-96AF-3BC6E1EBC570}">
            <xm:f>AND(IF(AE145='F:\Users\norela.briceno\Documents\Plan de acción\Plan Accion 2018\[Plan Accion Integrado ADRES Vigencia 2018 con Cuadro de Mando V6..xlsx]Plan de Accion 2018'!#REF!,AE145&lt;&gt;"N/A"))</xm:f>
            <x14:dxf>
              <fill>
                <patternFill>
                  <bgColor rgb="FF00B050"/>
                </patternFill>
              </fill>
            </x14:dxf>
          </x14:cfRule>
          <x14:cfRule type="expression" priority="16679" stopIfTrue="1" id="{59A60A53-ED6A-4958-8E58-D9E6FCF8864E}">
            <xm:f>AND(IF(AE145&lt;'F:\Users\norela.briceno\Documents\Plan de acción\Plan Accion 2018\[Plan Accion Integrado ADRES Vigencia 2018 con Cuadro de Mando V6..xlsx]Plan de Accion 2018'!#REF!,AE145&lt;&gt;"N/A"))</xm:f>
            <x14:dxf>
              <fill>
                <patternFill>
                  <bgColor indexed="10"/>
                </patternFill>
              </fill>
            </x14:dxf>
          </x14:cfRule>
          <xm:sqref>AE145</xm:sqref>
        </x14:conditionalFormatting>
        <x14:conditionalFormatting xmlns:xm="http://schemas.microsoft.com/office/excel/2006/main">
          <x14:cfRule type="expression" priority="16609" id="{0ED91EF8-475A-4068-92F9-7102519CB6D3}">
            <xm:f>AND(IF(J146&gt;'F:\Users\norela.briceno\Documents\Plan de acción\Plan Accion 2018\[Plan Accion Integrado ADRES Vigencia 2018 con Cuadro de Mando V6..xlsx]Plan de Accion 2018'!#REF!,J146&lt;&gt;¨N/A¨))</xm:f>
            <x14:dxf>
              <fill>
                <patternFill>
                  <bgColor theme="1" tint="0.499984740745262"/>
                </patternFill>
              </fill>
            </x14:dxf>
          </x14:cfRule>
          <x14:cfRule type="expression" priority="16610" stopIfTrue="1" id="{46B9C0BB-5266-4DED-BC94-C6782E0835C3}">
            <xm:f>AND(IF(J146='F:\Users\norela.briceno\Documents\Plan de acción\Plan Accion 2018\[Plan Accion Integrado ADRES Vigencia 2018 con Cuadro de Mando V6..xlsx]Plan de Accion 2018'!#REF!,J146&lt;&gt;"N/A"))</xm:f>
            <x14:dxf>
              <fill>
                <patternFill>
                  <bgColor rgb="FF00B050"/>
                </patternFill>
              </fill>
            </x14:dxf>
          </x14:cfRule>
          <x14:cfRule type="expression" priority="16611" stopIfTrue="1" id="{5A2BD551-C260-4530-B8A4-32C4B1C28CAF}">
            <xm:f>AND(IF(J146&lt;'F:\Users\norela.briceno\Documents\Plan de acción\Plan Accion 2018\[Plan Accion Integrado ADRES Vigencia 2018 con Cuadro de Mando V6..xlsx]Plan de Accion 2018'!#REF!,J146&lt;&gt;"N/A"))</xm:f>
            <x14:dxf>
              <fill>
                <patternFill>
                  <bgColor indexed="10"/>
                </patternFill>
              </fill>
            </x14:dxf>
          </x14:cfRule>
          <xm:sqref>J146</xm:sqref>
        </x14:conditionalFormatting>
        <x14:conditionalFormatting xmlns:xm="http://schemas.microsoft.com/office/excel/2006/main">
          <x14:cfRule type="expression" priority="16606" id="{1D510FA7-B2B6-43CC-9F97-5030200BFC08}">
            <xm:f>AND(IF(Q146&gt;'F:\Users\norela.briceno\Documents\Plan de acción\Plan Accion 2018\[Plan Accion Integrado ADRES Vigencia 2018 con Cuadro de Mando V6..xlsx]Plan de Accion 2018'!#REF!,Q146&lt;&gt;¨N/A¨))</xm:f>
            <x14:dxf>
              <fill>
                <patternFill>
                  <bgColor theme="1" tint="0.499984740745262"/>
                </patternFill>
              </fill>
            </x14:dxf>
          </x14:cfRule>
          <x14:cfRule type="expression" priority="16607" stopIfTrue="1" id="{F48F875B-E974-4609-889A-19A7AEFF4537}">
            <xm:f>AND(IF(Q146='F:\Users\norela.briceno\Documents\Plan de acción\Plan Accion 2018\[Plan Accion Integrado ADRES Vigencia 2018 con Cuadro de Mando V6..xlsx]Plan de Accion 2018'!#REF!,Q146&lt;&gt;"N/A"))</xm:f>
            <x14:dxf>
              <fill>
                <patternFill>
                  <bgColor rgb="FF00B050"/>
                </patternFill>
              </fill>
            </x14:dxf>
          </x14:cfRule>
          <x14:cfRule type="expression" priority="16608" stopIfTrue="1" id="{88ADEF19-0A24-44D9-952E-E8717D6C580F}">
            <xm:f>AND(IF(Q146&lt;'F:\Users\norela.briceno\Documents\Plan de acción\Plan Accion 2018\[Plan Accion Integrado ADRES Vigencia 2018 con Cuadro de Mando V6..xlsx]Plan de Accion 2018'!#REF!,Q146&lt;&gt;"N/A"))</xm:f>
            <x14:dxf>
              <fill>
                <patternFill>
                  <bgColor indexed="10"/>
                </patternFill>
              </fill>
            </x14:dxf>
          </x14:cfRule>
          <xm:sqref>Q146</xm:sqref>
        </x14:conditionalFormatting>
        <x14:conditionalFormatting xmlns:xm="http://schemas.microsoft.com/office/excel/2006/main">
          <x14:cfRule type="expression" priority="16603" id="{B3ED6707-039F-47D0-9FAA-180C3FD1A5B7}">
            <xm:f>AND(IF(X146&gt;'F:\Users\norela.briceno\Documents\Plan de acción\Plan Accion 2018\[Plan Accion Integrado ADRES Vigencia 2018 con Cuadro de Mando V6..xlsx]Plan de Accion 2018'!#REF!,X146&lt;&gt;¨N/A¨))</xm:f>
            <x14:dxf>
              <fill>
                <patternFill>
                  <bgColor theme="1" tint="0.499984740745262"/>
                </patternFill>
              </fill>
            </x14:dxf>
          </x14:cfRule>
          <x14:cfRule type="expression" priority="16604" stopIfTrue="1" id="{CDE7F0EE-3C00-41FD-9410-D119CD87BA04}">
            <xm:f>AND(IF(X146='F:\Users\norela.briceno\Documents\Plan de acción\Plan Accion 2018\[Plan Accion Integrado ADRES Vigencia 2018 con Cuadro de Mando V6..xlsx]Plan de Accion 2018'!#REF!,X146&lt;&gt;"N/A"))</xm:f>
            <x14:dxf>
              <fill>
                <patternFill>
                  <bgColor rgb="FF00B050"/>
                </patternFill>
              </fill>
            </x14:dxf>
          </x14:cfRule>
          <x14:cfRule type="expression" priority="16605" stopIfTrue="1" id="{5B680C07-A3D6-4BFF-BC8A-E6407CE0CD85}">
            <xm:f>AND(IF(X146&lt;'F:\Users\norela.briceno\Documents\Plan de acción\Plan Accion 2018\[Plan Accion Integrado ADRES Vigencia 2018 con Cuadro de Mando V6..xlsx]Plan de Accion 2018'!#REF!,X146&lt;&gt;"N/A"))</xm:f>
            <x14:dxf>
              <fill>
                <patternFill>
                  <bgColor indexed="10"/>
                </patternFill>
              </fill>
            </x14:dxf>
          </x14:cfRule>
          <xm:sqref>X146</xm:sqref>
        </x14:conditionalFormatting>
        <x14:conditionalFormatting xmlns:xm="http://schemas.microsoft.com/office/excel/2006/main">
          <x14:cfRule type="expression" priority="16600" id="{43BB5E91-95C4-4CEE-891B-C503D7546140}">
            <xm:f>AND(IF(AE146&gt;'F:\Users\norela.briceno\Documents\Plan de acción\Plan Accion 2018\[Plan Accion Integrado ADRES Vigencia 2018 con Cuadro de Mando V6..xlsx]Plan de Accion 2018'!#REF!,AE146&lt;&gt;¨N/A¨))</xm:f>
            <x14:dxf>
              <fill>
                <patternFill>
                  <bgColor theme="1" tint="0.499984740745262"/>
                </patternFill>
              </fill>
            </x14:dxf>
          </x14:cfRule>
          <x14:cfRule type="expression" priority="16601" stopIfTrue="1" id="{6C88E0F5-CC68-4625-8045-FC20F975A1DD}">
            <xm:f>AND(IF(AE146='F:\Users\norela.briceno\Documents\Plan de acción\Plan Accion 2018\[Plan Accion Integrado ADRES Vigencia 2018 con Cuadro de Mando V6..xlsx]Plan de Accion 2018'!#REF!,AE146&lt;&gt;"N/A"))</xm:f>
            <x14:dxf>
              <fill>
                <patternFill>
                  <bgColor rgb="FF00B050"/>
                </patternFill>
              </fill>
            </x14:dxf>
          </x14:cfRule>
          <x14:cfRule type="expression" priority="16602" stopIfTrue="1" id="{2D41C2D2-B626-4D58-877C-8D84C2F04597}">
            <xm:f>AND(IF(AE146&lt;'F:\Users\norela.briceno\Documents\Plan de acción\Plan Accion 2018\[Plan Accion Integrado ADRES Vigencia 2018 con Cuadro de Mando V6..xlsx]Plan de Accion 2018'!#REF!,AE146&lt;&gt;"N/A"))</xm:f>
            <x14:dxf>
              <fill>
                <patternFill>
                  <bgColor indexed="10"/>
                </patternFill>
              </fill>
            </x14:dxf>
          </x14:cfRule>
          <xm:sqref>AE146</xm:sqref>
        </x14:conditionalFormatting>
        <x14:conditionalFormatting xmlns:xm="http://schemas.microsoft.com/office/excel/2006/main">
          <x14:cfRule type="expression" priority="16532" id="{2B0E921C-7E97-47BE-99D7-397A56AC0027}">
            <xm:f>AND(IF(J147&gt;'F:\Users\norela.briceno\Documents\Plan de acción\Plan Accion 2018\[Plan Accion Integrado ADRES Vigencia 2018 con Cuadro de Mando V6..xlsx]Plan de Accion 2018'!#REF!,J147&lt;&gt;¨N/A¨))</xm:f>
            <x14:dxf>
              <fill>
                <patternFill>
                  <bgColor theme="1" tint="0.499984740745262"/>
                </patternFill>
              </fill>
            </x14:dxf>
          </x14:cfRule>
          <x14:cfRule type="expression" priority="16533" stopIfTrue="1" id="{7BDB001C-A8B1-4E69-95B1-0BD8E288CA4E}">
            <xm:f>AND(IF(J147='F:\Users\norela.briceno\Documents\Plan de acción\Plan Accion 2018\[Plan Accion Integrado ADRES Vigencia 2018 con Cuadro de Mando V6..xlsx]Plan de Accion 2018'!#REF!,J147&lt;&gt;"N/A"))</xm:f>
            <x14:dxf>
              <fill>
                <patternFill>
                  <bgColor rgb="FF00B050"/>
                </patternFill>
              </fill>
            </x14:dxf>
          </x14:cfRule>
          <x14:cfRule type="expression" priority="16534" stopIfTrue="1" id="{D0033B9C-FAA9-47FF-8435-96A86EA39291}">
            <xm:f>AND(IF(J147&lt;'F:\Users\norela.briceno\Documents\Plan de acción\Plan Accion 2018\[Plan Accion Integrado ADRES Vigencia 2018 con Cuadro de Mando V6..xlsx]Plan de Accion 2018'!#REF!,J147&lt;&gt;"N/A"))</xm:f>
            <x14:dxf>
              <fill>
                <patternFill>
                  <bgColor indexed="10"/>
                </patternFill>
              </fill>
            </x14:dxf>
          </x14:cfRule>
          <xm:sqref>J147</xm:sqref>
        </x14:conditionalFormatting>
        <x14:conditionalFormatting xmlns:xm="http://schemas.microsoft.com/office/excel/2006/main">
          <x14:cfRule type="expression" priority="16529" id="{D17D901A-79CB-4A10-BE56-0A065871E34A}">
            <xm:f>AND(IF(Q147&gt;'F:\Users\norela.briceno\Documents\Plan de acción\Plan Accion 2018\[Plan Accion Integrado ADRES Vigencia 2018 con Cuadro de Mando V6..xlsx]Plan de Accion 2018'!#REF!,Q147&lt;&gt;¨N/A¨))</xm:f>
            <x14:dxf>
              <fill>
                <patternFill>
                  <bgColor theme="1" tint="0.499984740745262"/>
                </patternFill>
              </fill>
            </x14:dxf>
          </x14:cfRule>
          <x14:cfRule type="expression" priority="16530" stopIfTrue="1" id="{F9B4E308-B9F2-45AA-A20B-E7E10BD8122E}">
            <xm:f>AND(IF(Q147='F:\Users\norela.briceno\Documents\Plan de acción\Plan Accion 2018\[Plan Accion Integrado ADRES Vigencia 2018 con Cuadro de Mando V6..xlsx]Plan de Accion 2018'!#REF!,Q147&lt;&gt;"N/A"))</xm:f>
            <x14:dxf>
              <fill>
                <patternFill>
                  <bgColor rgb="FF00B050"/>
                </patternFill>
              </fill>
            </x14:dxf>
          </x14:cfRule>
          <x14:cfRule type="expression" priority="16531" stopIfTrue="1" id="{179A1BDC-E597-47A4-8381-EC929033B38D}">
            <xm:f>AND(IF(Q147&lt;'F:\Users\norela.briceno\Documents\Plan de acción\Plan Accion 2018\[Plan Accion Integrado ADRES Vigencia 2018 con Cuadro de Mando V6..xlsx]Plan de Accion 2018'!#REF!,Q147&lt;&gt;"N/A"))</xm:f>
            <x14:dxf>
              <fill>
                <patternFill>
                  <bgColor indexed="10"/>
                </patternFill>
              </fill>
            </x14:dxf>
          </x14:cfRule>
          <xm:sqref>Q147</xm:sqref>
        </x14:conditionalFormatting>
        <x14:conditionalFormatting xmlns:xm="http://schemas.microsoft.com/office/excel/2006/main">
          <x14:cfRule type="expression" priority="16526" id="{B99419E0-A861-48F9-B659-312D38D199ED}">
            <xm:f>AND(IF(X147&gt;'F:\Users\norela.briceno\Documents\Plan de acción\Plan Accion 2018\[Plan Accion Integrado ADRES Vigencia 2018 con Cuadro de Mando V6..xlsx]Plan de Accion 2018'!#REF!,X147&lt;&gt;¨N/A¨))</xm:f>
            <x14:dxf>
              <fill>
                <patternFill>
                  <bgColor theme="1" tint="0.499984740745262"/>
                </patternFill>
              </fill>
            </x14:dxf>
          </x14:cfRule>
          <x14:cfRule type="expression" priority="16527" stopIfTrue="1" id="{0F359E98-A741-44BA-A488-5C89FDFAED07}">
            <xm:f>AND(IF(X147='F:\Users\norela.briceno\Documents\Plan de acción\Plan Accion 2018\[Plan Accion Integrado ADRES Vigencia 2018 con Cuadro de Mando V6..xlsx]Plan de Accion 2018'!#REF!,X147&lt;&gt;"N/A"))</xm:f>
            <x14:dxf>
              <fill>
                <patternFill>
                  <bgColor rgb="FF00B050"/>
                </patternFill>
              </fill>
            </x14:dxf>
          </x14:cfRule>
          <x14:cfRule type="expression" priority="16528" stopIfTrue="1" id="{75FE316F-C38C-46CE-A8F9-81D31B915071}">
            <xm:f>AND(IF(X147&lt;'F:\Users\norela.briceno\Documents\Plan de acción\Plan Accion 2018\[Plan Accion Integrado ADRES Vigencia 2018 con Cuadro de Mando V6..xlsx]Plan de Accion 2018'!#REF!,X147&lt;&gt;"N/A"))</xm:f>
            <x14:dxf>
              <fill>
                <patternFill>
                  <bgColor indexed="10"/>
                </patternFill>
              </fill>
            </x14:dxf>
          </x14:cfRule>
          <xm:sqref>X147</xm:sqref>
        </x14:conditionalFormatting>
        <x14:conditionalFormatting xmlns:xm="http://schemas.microsoft.com/office/excel/2006/main">
          <x14:cfRule type="expression" priority="16523" id="{E92A5AB1-83EC-476E-B45D-2A1DDC03E772}">
            <xm:f>AND(IF(AE147&gt;'F:\Users\norela.briceno\Documents\Plan de acción\Plan Accion 2018\[Plan Accion Integrado ADRES Vigencia 2018 con Cuadro de Mando V6..xlsx]Plan de Accion 2018'!#REF!,AE147&lt;&gt;¨N/A¨))</xm:f>
            <x14:dxf>
              <fill>
                <patternFill>
                  <bgColor theme="1" tint="0.499984740745262"/>
                </patternFill>
              </fill>
            </x14:dxf>
          </x14:cfRule>
          <x14:cfRule type="expression" priority="16524" stopIfTrue="1" id="{C9EB158C-966F-4250-BA1E-EE1491FFB9B8}">
            <xm:f>AND(IF(AE147='F:\Users\norela.briceno\Documents\Plan de acción\Plan Accion 2018\[Plan Accion Integrado ADRES Vigencia 2018 con Cuadro de Mando V6..xlsx]Plan de Accion 2018'!#REF!,AE147&lt;&gt;"N/A"))</xm:f>
            <x14:dxf>
              <fill>
                <patternFill>
                  <bgColor rgb="FF00B050"/>
                </patternFill>
              </fill>
            </x14:dxf>
          </x14:cfRule>
          <x14:cfRule type="expression" priority="16525" stopIfTrue="1" id="{5D738B1D-B00B-4622-B166-25F0E743A7BF}">
            <xm:f>AND(IF(AE147&lt;'F:\Users\norela.briceno\Documents\Plan de acción\Plan Accion 2018\[Plan Accion Integrado ADRES Vigencia 2018 con Cuadro de Mando V6..xlsx]Plan de Accion 2018'!#REF!,AE147&lt;&gt;"N/A"))</xm:f>
            <x14:dxf>
              <fill>
                <patternFill>
                  <bgColor indexed="10"/>
                </patternFill>
              </fill>
            </x14:dxf>
          </x14:cfRule>
          <xm:sqref>AE147</xm:sqref>
        </x14:conditionalFormatting>
        <x14:conditionalFormatting xmlns:xm="http://schemas.microsoft.com/office/excel/2006/main">
          <x14:cfRule type="expression" priority="16455" id="{CB3250C1-F02A-4C3B-BED7-B05E3A4485AE}">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16456" stopIfTrue="1" id="{EEE70E4A-98FD-403B-A65C-1472516E541E}">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16457" stopIfTrue="1" id="{D2DB4C91-148B-42A8-B2DB-EA16DCDC259E}">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16452" id="{942DE3E6-3E44-49D1-9BDD-CA31438B8532}">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16453" stopIfTrue="1" id="{5E8BC55C-F131-4CC3-B944-50B5C736F561}">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16454" stopIfTrue="1" id="{6213E078-55F7-459A-B496-1017CEA3EE83}">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16449" id="{8D6FBF0B-EE48-4210-9AA0-5E0253686DB8}">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16450" stopIfTrue="1" id="{0025F0EC-F9A2-4ABE-BA94-B1BEDE186441}">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16451" stopIfTrue="1" id="{90E7B6BF-942E-4E9F-9BBF-F391A68A6869}">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16446" id="{4BFF00F4-02B0-4432-90B5-D5E181D01C3E}">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16447" stopIfTrue="1" id="{B4D9B1F9-3275-4EC3-9DB7-F03BBB7D6CA3}">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16448" stopIfTrue="1" id="{097B9423-27A6-47AD-921B-4470FCAFDEEF}">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16261" id="{A55A63C4-05D8-4CDC-BF30-37D903F91C8A}">
            <xm:f>AND(IF(J208&gt;'F:\Users\norela.briceno\Documents\Plan de acción\Plan Accion 2018\[Plan Accion Integrado ADRES Vigencia 2018 con Cuadro de Mando V6..xlsx]Plan de Accion 2018'!#REF!,J208&lt;&gt;¨N/A¨))</xm:f>
            <x14:dxf>
              <fill>
                <patternFill>
                  <bgColor theme="1" tint="0.499984740745262"/>
                </patternFill>
              </fill>
            </x14:dxf>
          </x14:cfRule>
          <x14:cfRule type="expression" priority="16262" stopIfTrue="1" id="{9461542F-9C86-4683-BB82-67DD1615FF51}">
            <xm:f>AND(IF(J208='F:\Users\norela.briceno\Documents\Plan de acción\Plan Accion 2018\[Plan Accion Integrado ADRES Vigencia 2018 con Cuadro de Mando V6..xlsx]Plan de Accion 2018'!#REF!,J208&lt;&gt;"N/A"))</xm:f>
            <x14:dxf>
              <fill>
                <patternFill>
                  <bgColor rgb="FF00B050"/>
                </patternFill>
              </fill>
            </x14:dxf>
          </x14:cfRule>
          <x14:cfRule type="expression" priority="16263" stopIfTrue="1" id="{A631C208-DFF6-4992-BF50-186E3F1DE138}">
            <xm:f>AND(IF(J208&lt;'F:\Users\norela.briceno\Documents\Plan de acción\Plan Accion 2018\[Plan Accion Integrado ADRES Vigencia 2018 con Cuadro de Mando V6..xlsx]Plan de Accion 2018'!#REF!,J208&lt;&gt;"N/A"))</xm:f>
            <x14:dxf>
              <fill>
                <patternFill>
                  <bgColor indexed="10"/>
                </patternFill>
              </fill>
            </x14:dxf>
          </x14:cfRule>
          <xm:sqref>J208</xm:sqref>
        </x14:conditionalFormatting>
        <x14:conditionalFormatting xmlns:xm="http://schemas.microsoft.com/office/excel/2006/main">
          <x14:cfRule type="expression" priority="16258" id="{4813EAF7-73A0-4D4A-A76F-7B6576C12516}">
            <xm:f>AND(IF(Q208&gt;'F:\Users\norela.briceno\Documents\Plan de acción\Plan Accion 2018\[Plan Accion Integrado ADRES Vigencia 2018 con Cuadro de Mando V6..xlsx]Plan de Accion 2018'!#REF!,Q208&lt;&gt;¨N/A¨))</xm:f>
            <x14:dxf>
              <fill>
                <patternFill>
                  <bgColor theme="1" tint="0.499984740745262"/>
                </patternFill>
              </fill>
            </x14:dxf>
          </x14:cfRule>
          <x14:cfRule type="expression" priority="16259" stopIfTrue="1" id="{994D40D6-416D-4CAC-9421-D4811F0B6F13}">
            <xm:f>AND(IF(Q208='F:\Users\norela.briceno\Documents\Plan de acción\Plan Accion 2018\[Plan Accion Integrado ADRES Vigencia 2018 con Cuadro de Mando V6..xlsx]Plan de Accion 2018'!#REF!,Q208&lt;&gt;"N/A"))</xm:f>
            <x14:dxf>
              <fill>
                <patternFill>
                  <bgColor rgb="FF00B050"/>
                </patternFill>
              </fill>
            </x14:dxf>
          </x14:cfRule>
          <x14:cfRule type="expression" priority="16260" stopIfTrue="1" id="{D60C1CE9-7B57-44C8-BA08-93D4B96EC0BB}">
            <xm:f>AND(IF(Q208&lt;'F:\Users\norela.briceno\Documents\Plan de acción\Plan Accion 2018\[Plan Accion Integrado ADRES Vigencia 2018 con Cuadro de Mando V6..xlsx]Plan de Accion 2018'!#REF!,Q208&lt;&gt;"N/A"))</xm:f>
            <x14:dxf>
              <fill>
                <patternFill>
                  <bgColor indexed="10"/>
                </patternFill>
              </fill>
            </x14:dxf>
          </x14:cfRule>
          <xm:sqref>Q208</xm:sqref>
        </x14:conditionalFormatting>
        <x14:conditionalFormatting xmlns:xm="http://schemas.microsoft.com/office/excel/2006/main">
          <x14:cfRule type="expression" priority="16255" id="{C6FAF6D6-6A77-4558-850A-966247775B25}">
            <xm:f>AND(IF(X208&gt;'F:\Users\norela.briceno\Documents\Plan de acción\Plan Accion 2018\[Plan Accion Integrado ADRES Vigencia 2018 con Cuadro de Mando V6..xlsx]Plan de Accion 2018'!#REF!,X208&lt;&gt;¨N/A¨))</xm:f>
            <x14:dxf>
              <fill>
                <patternFill>
                  <bgColor theme="1" tint="0.499984740745262"/>
                </patternFill>
              </fill>
            </x14:dxf>
          </x14:cfRule>
          <x14:cfRule type="expression" priority="16256" stopIfTrue="1" id="{97EA954F-BBF8-437E-818F-3C6AC6377FC4}">
            <xm:f>AND(IF(X208='F:\Users\norela.briceno\Documents\Plan de acción\Plan Accion 2018\[Plan Accion Integrado ADRES Vigencia 2018 con Cuadro de Mando V6..xlsx]Plan de Accion 2018'!#REF!,X208&lt;&gt;"N/A"))</xm:f>
            <x14:dxf>
              <fill>
                <patternFill>
                  <bgColor rgb="FF00B050"/>
                </patternFill>
              </fill>
            </x14:dxf>
          </x14:cfRule>
          <x14:cfRule type="expression" priority="16257" stopIfTrue="1" id="{972DD4F5-A90B-497C-8D90-8735FB264E95}">
            <xm:f>AND(IF(X208&lt;'F:\Users\norela.briceno\Documents\Plan de acción\Plan Accion 2018\[Plan Accion Integrado ADRES Vigencia 2018 con Cuadro de Mando V6..xlsx]Plan de Accion 2018'!#REF!,X208&lt;&gt;"N/A"))</xm:f>
            <x14:dxf>
              <fill>
                <patternFill>
                  <bgColor indexed="10"/>
                </patternFill>
              </fill>
            </x14:dxf>
          </x14:cfRule>
          <xm:sqref>X208</xm:sqref>
        </x14:conditionalFormatting>
        <x14:conditionalFormatting xmlns:xm="http://schemas.microsoft.com/office/excel/2006/main">
          <x14:cfRule type="expression" priority="16252" id="{F03B5ED3-F63A-4BE4-8788-4A0A1E59F5CF}">
            <xm:f>AND(IF(AE208&gt;'F:\Users\norela.briceno\Documents\Plan de acción\Plan Accion 2018\[Plan Accion Integrado ADRES Vigencia 2018 con Cuadro de Mando V6..xlsx]Plan de Accion 2018'!#REF!,AE208&lt;&gt;¨N/A¨))</xm:f>
            <x14:dxf>
              <fill>
                <patternFill>
                  <bgColor theme="1" tint="0.499984740745262"/>
                </patternFill>
              </fill>
            </x14:dxf>
          </x14:cfRule>
          <x14:cfRule type="expression" priority="16253" stopIfTrue="1" id="{30967399-6FCC-4A85-B78F-ED324DF65B2D}">
            <xm:f>AND(IF(AE208='F:\Users\norela.briceno\Documents\Plan de acción\Plan Accion 2018\[Plan Accion Integrado ADRES Vigencia 2018 con Cuadro de Mando V6..xlsx]Plan de Accion 2018'!#REF!,AE208&lt;&gt;"N/A"))</xm:f>
            <x14:dxf>
              <fill>
                <patternFill>
                  <bgColor rgb="FF00B050"/>
                </patternFill>
              </fill>
            </x14:dxf>
          </x14:cfRule>
          <x14:cfRule type="expression" priority="16254" stopIfTrue="1" id="{79EA914E-2061-4933-8161-14CA1D6C8C40}">
            <xm:f>AND(IF(AE208&lt;'F:\Users\norela.briceno\Documents\Plan de acción\Plan Accion 2018\[Plan Accion Integrado ADRES Vigencia 2018 con Cuadro de Mando V6..xlsx]Plan de Accion 2018'!#REF!,AE208&lt;&gt;"N/A"))</xm:f>
            <x14:dxf>
              <fill>
                <patternFill>
                  <bgColor indexed="10"/>
                </patternFill>
              </fill>
            </x14:dxf>
          </x14:cfRule>
          <xm:sqref>AE208</xm:sqref>
        </x14:conditionalFormatting>
        <x14:conditionalFormatting xmlns:xm="http://schemas.microsoft.com/office/excel/2006/main">
          <x14:cfRule type="expression" priority="15440" id="{408C7D2F-B156-4C88-B378-027BCB45C2E1}">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15441" stopIfTrue="1" id="{85306298-2628-4AD3-BA13-F4FBB73C7F0C}">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15442" stopIfTrue="1" id="{EBE77E88-A599-4C01-B17D-3AB8645AE6B0}">
            <xm:f>AND(IF(AE231&lt;'F:\Users\norela.briceno\Documents\Plan de acción\Plan Accion 2018\[Plan Accion Integrado ADRES Vigencia 2018 con Cuadro de Mando V6..xlsx]Plan de Accion 2018'!#REF!,AE231&lt;&gt;"N/A"))</xm:f>
            <x14:dxf>
              <fill>
                <patternFill>
                  <bgColor indexed="10"/>
                </patternFill>
              </fill>
            </x14:dxf>
          </x14:cfRule>
          <xm:sqref>AE231</xm:sqref>
        </x14:conditionalFormatting>
        <x14:conditionalFormatting xmlns:xm="http://schemas.microsoft.com/office/excel/2006/main">
          <x14:cfRule type="expression" priority="15422" id="{0680CD96-50A9-4DD6-8F50-E1356F6C245C}">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15423" stopIfTrue="1" id="{B8A2F1E5-72D3-4CBE-B04E-CB1718EDE50D}">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15424" stopIfTrue="1" id="{8DCCD01F-14E8-47D0-99C8-93299492517C}">
            <xm:f>AND(IF(X231&lt;'F:\Users\norela.briceno\Documents\Plan de acción\Plan Accion 2018\[Plan Accion Integrado ADRES Vigencia 2018 con Cuadro de Mando V6..xlsx]Plan de Accion 2018'!#REF!,X231&lt;&gt;"N/A"))</xm:f>
            <x14:dxf>
              <fill>
                <patternFill>
                  <bgColor indexed="10"/>
                </patternFill>
              </fill>
            </x14:dxf>
          </x14:cfRule>
          <xm:sqref>X231</xm:sqref>
        </x14:conditionalFormatting>
        <x14:conditionalFormatting xmlns:xm="http://schemas.microsoft.com/office/excel/2006/main">
          <x14:cfRule type="expression" priority="15376" id="{99FC07ED-8389-4A74-A464-1B1569B6A8D3}">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15377" stopIfTrue="1" id="{91663BD4-7B57-4BB4-BF6E-9075B307E6D1}">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15378" stopIfTrue="1" id="{1C89EB68-6865-4266-BCA6-55F366DD8373}">
            <xm:f>AND(IF(Q231&lt;'F:\Users\norela.briceno\Documents\Plan de acción\Plan Accion 2018\[Plan Accion Integrado ADRES Vigencia 2018 con Cuadro de Mando V6..xlsx]Plan de Accion 2018'!#REF!,Q231&lt;&gt;"N/A"))</xm:f>
            <x14:dxf>
              <fill>
                <patternFill>
                  <bgColor indexed="10"/>
                </patternFill>
              </fill>
            </x14:dxf>
          </x14:cfRule>
          <xm:sqref>Q231</xm:sqref>
        </x14:conditionalFormatting>
        <x14:conditionalFormatting xmlns:xm="http://schemas.microsoft.com/office/excel/2006/main">
          <x14:cfRule type="expression" priority="15338" id="{9C3E777F-BA06-4EC3-A789-3D8FD869499D}">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15339" stopIfTrue="1" id="{830C43C2-7D68-4712-AF97-FAF73B7B6A7E}">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15340" stopIfTrue="1" id="{52F54E9F-D93B-4ADF-99B3-BEAB79B18838}">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15320" id="{79A05394-E8AC-4DB3-926C-65B7F666203F}">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15321" stopIfTrue="1" id="{1ACB7936-2B14-415A-AEE5-0474FFA46B0B}">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15322" stopIfTrue="1" id="{82E007B0-362C-4E2A-8E03-866A332F6370}">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15256" id="{9C29FB0F-0B2D-446E-BEB5-FC760832676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5257" stopIfTrue="1" id="{1873F67F-4383-42F1-B217-A3155BA16443}">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5258" stopIfTrue="1" id="{A2B6F062-8A87-4FAB-8089-2FB742082FD4}">
            <xm:f>AND(IF(J34&lt;'F:\Users\norela.briceno\Documents\Plan de acción\Plan Accion 2018\[Plan Accion Integrado ADRES Vigencia 2018 con Cuadro de Mando V6..xlsx]Plan de Accion 2018'!#REF!,J34&lt;&gt;"N/A"))</xm:f>
            <x14:dxf>
              <fill>
                <patternFill>
                  <bgColor indexed="10"/>
                </patternFill>
              </fill>
            </x14:dxf>
          </x14:cfRule>
          <xm:sqref>J34 Q34 AE34 X34</xm:sqref>
        </x14:conditionalFormatting>
        <x14:conditionalFormatting xmlns:xm="http://schemas.microsoft.com/office/excel/2006/main">
          <x14:cfRule type="expression" priority="15253" id="{1933BB16-4BA9-4239-9009-9CFBFC940FD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5254" stopIfTrue="1" id="{1B248148-7348-4A6D-91E0-8BA3D96FDB9B}">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5255" stopIfTrue="1" id="{1C12151D-389C-485D-8D5A-F396266C289D}">
            <xm:f>AND(IF(J34&lt;'F:\Users\norela.briceno\Documents\Plan de acción\Plan Accion 2018\[Plan Accion Integrado ADRES Vigencia 2018 con Cuadro de Mando V6..xlsx]Plan de Accion 2018'!#REF!,J34&lt;&gt;"N/A"))</xm:f>
            <x14:dxf>
              <fill>
                <patternFill>
                  <bgColor indexed="10"/>
                </patternFill>
              </fill>
            </x14:dxf>
          </x14:cfRule>
          <xm:sqref>J34</xm:sqref>
        </x14:conditionalFormatting>
        <x14:conditionalFormatting xmlns:xm="http://schemas.microsoft.com/office/excel/2006/main">
          <x14:cfRule type="expression" priority="15250" id="{16E9F4F9-C180-4330-A551-6EF7DD63A7BE}">
            <xm:f>AND(IF(Q34&gt;'F:\Users\norela.briceno\Documents\Plan de acción\Plan Accion 2018\[Plan Accion Integrado ADRES Vigencia 2018 con Cuadro de Mando V6..xlsx]Plan de Accion 2018'!#REF!,Q34&lt;&gt;¨N/A¨))</xm:f>
            <x14:dxf>
              <fill>
                <patternFill>
                  <bgColor theme="1" tint="0.499984740745262"/>
                </patternFill>
              </fill>
            </x14:dxf>
          </x14:cfRule>
          <x14:cfRule type="expression" priority="15251" stopIfTrue="1" id="{E501AA27-9981-4FFE-8301-679F348E0194}">
            <xm:f>AND(IF(Q34='F:\Users\norela.briceno\Documents\Plan de acción\Plan Accion 2018\[Plan Accion Integrado ADRES Vigencia 2018 con Cuadro de Mando V6..xlsx]Plan de Accion 2018'!#REF!,Q34&lt;&gt;"N/A"))</xm:f>
            <x14:dxf>
              <fill>
                <patternFill>
                  <bgColor rgb="FF00B050"/>
                </patternFill>
              </fill>
            </x14:dxf>
          </x14:cfRule>
          <x14:cfRule type="expression" priority="15252" stopIfTrue="1" id="{DE9504CA-C42B-4EAF-BA09-5E004DB615A6}">
            <xm:f>AND(IF(Q34&lt;'F:\Users\norela.briceno\Documents\Plan de acción\Plan Accion 2018\[Plan Accion Integrado ADRES Vigencia 2018 con Cuadro de Mando V6..xlsx]Plan de Accion 2018'!#REF!,Q34&lt;&gt;"N/A"))</xm:f>
            <x14:dxf>
              <fill>
                <patternFill>
                  <bgColor indexed="10"/>
                </patternFill>
              </fill>
            </x14:dxf>
          </x14:cfRule>
          <xm:sqref>Q34</xm:sqref>
        </x14:conditionalFormatting>
        <x14:conditionalFormatting xmlns:xm="http://schemas.microsoft.com/office/excel/2006/main">
          <x14:cfRule type="expression" priority="15247" id="{71CD58D4-4755-4FD5-B6BC-57969B5244C6}">
            <xm:f>AND(IF(X34&gt;'F:\Users\norela.briceno\Documents\Plan de acción\Plan Accion 2018\[Plan Accion Integrado ADRES Vigencia 2018 con Cuadro de Mando V6..xlsx]Plan de Accion 2018'!#REF!,X34&lt;&gt;¨N/A¨))</xm:f>
            <x14:dxf>
              <fill>
                <patternFill>
                  <bgColor theme="1" tint="0.499984740745262"/>
                </patternFill>
              </fill>
            </x14:dxf>
          </x14:cfRule>
          <x14:cfRule type="expression" priority="15248" stopIfTrue="1" id="{1E7F536E-0558-47DD-85B2-A524C959C291}">
            <xm:f>AND(IF(X34='F:\Users\norela.briceno\Documents\Plan de acción\Plan Accion 2018\[Plan Accion Integrado ADRES Vigencia 2018 con Cuadro de Mando V6..xlsx]Plan de Accion 2018'!#REF!,X34&lt;&gt;"N/A"))</xm:f>
            <x14:dxf>
              <fill>
                <patternFill>
                  <bgColor rgb="FF00B050"/>
                </patternFill>
              </fill>
            </x14:dxf>
          </x14:cfRule>
          <x14:cfRule type="expression" priority="15249" stopIfTrue="1" id="{06AE82B7-D12A-48F1-965F-1CE262E31962}">
            <xm:f>AND(IF(X34&lt;'F:\Users\norela.briceno\Documents\Plan de acción\Plan Accion 2018\[Plan Accion Integrado ADRES Vigencia 2018 con Cuadro de Mando V6..xlsx]Plan de Accion 2018'!#REF!,X34&lt;&gt;"N/A"))</xm:f>
            <x14:dxf>
              <fill>
                <patternFill>
                  <bgColor indexed="10"/>
                </patternFill>
              </fill>
            </x14:dxf>
          </x14:cfRule>
          <xm:sqref>X34</xm:sqref>
        </x14:conditionalFormatting>
        <x14:conditionalFormatting xmlns:xm="http://schemas.microsoft.com/office/excel/2006/main">
          <x14:cfRule type="expression" priority="15244" id="{BFF1F75C-BE51-426D-9C45-44C64491C61D}">
            <xm:f>AND(IF(AE34&gt;'F:\Users\norela.briceno\Documents\Plan de acción\Plan Accion 2018\[Plan Accion Integrado ADRES Vigencia 2018 con Cuadro de Mando V6..xlsx]Plan de Accion 2018'!#REF!,AE34&lt;&gt;¨N/A¨))</xm:f>
            <x14:dxf>
              <fill>
                <patternFill>
                  <bgColor theme="1" tint="0.499984740745262"/>
                </patternFill>
              </fill>
            </x14:dxf>
          </x14:cfRule>
          <x14:cfRule type="expression" priority="15245" stopIfTrue="1" id="{C10594BC-505D-4FCC-9C74-A88DE349E45A}">
            <xm:f>AND(IF(AE34='F:\Users\norela.briceno\Documents\Plan de acción\Plan Accion 2018\[Plan Accion Integrado ADRES Vigencia 2018 con Cuadro de Mando V6..xlsx]Plan de Accion 2018'!#REF!,AE34&lt;&gt;"N/A"))</xm:f>
            <x14:dxf>
              <fill>
                <patternFill>
                  <bgColor rgb="FF00B050"/>
                </patternFill>
              </fill>
            </x14:dxf>
          </x14:cfRule>
          <x14:cfRule type="expression" priority="15246" stopIfTrue="1" id="{3D0BB5D9-7087-4259-A6F5-13C7F3B2080C}">
            <xm:f>AND(IF(AE34&lt;'F:\Users\norela.briceno\Documents\Plan de acción\Plan Accion 2018\[Plan Accion Integrado ADRES Vigencia 2018 con Cuadro de Mando V6..xlsx]Plan de Accion 2018'!#REF!,AE34&lt;&gt;"N/A"))</xm:f>
            <x14:dxf>
              <fill>
                <patternFill>
                  <bgColor indexed="10"/>
                </patternFill>
              </fill>
            </x14:dxf>
          </x14:cfRule>
          <xm:sqref>AE34</xm:sqref>
        </x14:conditionalFormatting>
        <x14:conditionalFormatting xmlns:xm="http://schemas.microsoft.com/office/excel/2006/main">
          <x14:cfRule type="expression" priority="15176" id="{E20C7DC8-9128-47B0-9602-63B6EA854A8D}">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177" stopIfTrue="1" id="{4F271666-CD96-478F-A188-4EFCF97C6B73}">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178" stopIfTrue="1" id="{97452518-F7A1-43AB-8124-61352F946818}">
            <xm:f>AND(IF(J29&lt;'F:\Users\norela.briceno\Documents\Plan de acción\Plan Accion 2018\[Plan Accion Integrado ADRES Vigencia 2018 con Cuadro de Mando V6..xlsx]Plan de Accion 2018'!#REF!,J29&lt;&gt;"N/A"))</xm:f>
            <x14:dxf>
              <fill>
                <patternFill>
                  <bgColor indexed="10"/>
                </patternFill>
              </fill>
            </x14:dxf>
          </x14:cfRule>
          <xm:sqref>J29 Q29 AE29 X29 X31 AE31 Q31 J31</xm:sqref>
        </x14:conditionalFormatting>
        <x14:conditionalFormatting xmlns:xm="http://schemas.microsoft.com/office/excel/2006/main">
          <x14:cfRule type="expression" priority="15173" id="{BC8A87AA-DB99-4CD0-822D-E544782D6F4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174" stopIfTrue="1" id="{BBA65062-52EC-4D52-80F4-AE3C75A901E6}">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175" stopIfTrue="1" id="{AAF82C5C-FCA9-4D62-B4E1-EAFB2148BD6E}">
            <xm:f>AND(IF(J29&lt;'F:\Users\norela.briceno\Documents\Plan de acción\Plan Accion 2018\[Plan Accion Integrado ADRES Vigencia 2018 con Cuadro de Mando V6..xlsx]Plan de Accion 2018'!#REF!,J29&lt;&gt;"N/A"))</xm:f>
            <x14:dxf>
              <fill>
                <patternFill>
                  <bgColor indexed="10"/>
                </patternFill>
              </fill>
            </x14:dxf>
          </x14:cfRule>
          <xm:sqref>J29 J31</xm:sqref>
        </x14:conditionalFormatting>
        <x14:conditionalFormatting xmlns:xm="http://schemas.microsoft.com/office/excel/2006/main">
          <x14:cfRule type="expression" priority="15170" id="{9DD4697C-03E2-4BA9-A91C-3ED55BB80409}">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15171" stopIfTrue="1" id="{01C37523-1723-457A-A7F5-4A5C6C533EFD}">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15172" stopIfTrue="1" id="{76FA6686-1DED-4B44-B570-6C9B51A3082B}">
            <xm:f>AND(IF(Q29&lt;'F:\Users\norela.briceno\Documents\Plan de acción\Plan Accion 2018\[Plan Accion Integrado ADRES Vigencia 2018 con Cuadro de Mando V6..xlsx]Plan de Accion 2018'!#REF!,Q29&lt;&gt;"N/A"))</xm:f>
            <x14:dxf>
              <fill>
                <patternFill>
                  <bgColor indexed="10"/>
                </patternFill>
              </fill>
            </x14:dxf>
          </x14:cfRule>
          <xm:sqref>Q29 Q31</xm:sqref>
        </x14:conditionalFormatting>
        <x14:conditionalFormatting xmlns:xm="http://schemas.microsoft.com/office/excel/2006/main">
          <x14:cfRule type="expression" priority="15167" id="{D4540D6A-5ABB-44D7-B3DA-A725D1E749C3}">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15168" stopIfTrue="1" id="{635A69A3-E736-4285-93F5-628A2EBA3204}">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15169" stopIfTrue="1" id="{45734FA6-B559-4971-B87C-81795C7EDA7A}">
            <xm:f>AND(IF(X29&lt;'F:\Users\norela.briceno\Documents\Plan de acción\Plan Accion 2018\[Plan Accion Integrado ADRES Vigencia 2018 con Cuadro de Mando V6..xlsx]Plan de Accion 2018'!#REF!,X29&lt;&gt;"N/A"))</xm:f>
            <x14:dxf>
              <fill>
                <patternFill>
                  <bgColor indexed="10"/>
                </patternFill>
              </fill>
            </x14:dxf>
          </x14:cfRule>
          <xm:sqref>X29 X31</xm:sqref>
        </x14:conditionalFormatting>
        <x14:conditionalFormatting xmlns:xm="http://schemas.microsoft.com/office/excel/2006/main">
          <x14:cfRule type="expression" priority="15164" id="{ECC63CF5-1657-4107-A58E-AEDA6CD731C2}">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15165" stopIfTrue="1" id="{01610812-E5C9-4D6B-A817-C31E144CB1FD}">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15166" stopIfTrue="1" id="{49543EB2-39D6-4E6B-B944-8630299DCA27}">
            <xm:f>AND(IF(AE29&lt;'F:\Users\norela.briceno\Documents\Plan de acción\Plan Accion 2018\[Plan Accion Integrado ADRES Vigencia 2018 con Cuadro de Mando V6..xlsx]Plan de Accion 2018'!#REF!,AE29&lt;&gt;"N/A"))</xm:f>
            <x14:dxf>
              <fill>
                <patternFill>
                  <bgColor indexed="10"/>
                </patternFill>
              </fill>
            </x14:dxf>
          </x14:cfRule>
          <xm:sqref>AE29 AE31</xm:sqref>
        </x14:conditionalFormatting>
        <x14:conditionalFormatting xmlns:xm="http://schemas.microsoft.com/office/excel/2006/main">
          <x14:cfRule type="expression" priority="15081" id="{68D95EDE-178F-4777-9718-314E45D333E7}">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082" stopIfTrue="1" id="{E395AAEC-DCEB-4298-8185-DC97C0F64971}">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083" stopIfTrue="1" id="{7516331E-E06E-4427-B07F-6C65BCC93C0B}">
            <xm:f>AND(IF(J60&lt;'F:\Users\norela.briceno\Documents\Plan de acción\Plan Accion 2018\[Plan Accion Integrado ADRES Vigencia 2018 con Cuadro de Mando V6..xlsx]Plan de Accion 2018'!#REF!,J60&lt;&gt;"N/A"))</xm:f>
            <x14:dxf>
              <fill>
                <patternFill>
                  <bgColor indexed="10"/>
                </patternFill>
              </fill>
            </x14:dxf>
          </x14:cfRule>
          <xm:sqref>J60 Q60 AE60 X60</xm:sqref>
        </x14:conditionalFormatting>
        <x14:conditionalFormatting xmlns:xm="http://schemas.microsoft.com/office/excel/2006/main">
          <x14:cfRule type="expression" priority="15078" id="{F317D4FE-06F6-4300-BAB2-0B43BF28486F}">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079" stopIfTrue="1" id="{DDA90491-6209-459A-94B9-ABA46FFA6EE8}">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080" stopIfTrue="1" id="{3758AB8D-2615-40E7-B735-2809FF287F7A}">
            <xm:f>AND(IF(J60&lt;'F:\Users\norela.briceno\Documents\Plan de acción\Plan Accion 2018\[Plan Accion Integrado ADRES Vigencia 2018 con Cuadro de Mando V6..xlsx]Plan de Accion 2018'!#REF!,J60&lt;&gt;"N/A"))</xm:f>
            <x14:dxf>
              <fill>
                <patternFill>
                  <bgColor indexed="10"/>
                </patternFill>
              </fill>
            </x14:dxf>
          </x14:cfRule>
          <xm:sqref>J60</xm:sqref>
        </x14:conditionalFormatting>
        <x14:conditionalFormatting xmlns:xm="http://schemas.microsoft.com/office/excel/2006/main">
          <x14:cfRule type="expression" priority="15075" id="{343A1453-2D63-4869-8361-2670121EECFC}">
            <xm:f>AND(IF(Q60&gt;'F:\Users\norela.briceno\Documents\Plan de acción\Plan Accion 2018\[Plan Accion Integrado ADRES Vigencia 2018 con Cuadro de Mando V6..xlsx]Plan de Accion 2018'!#REF!,Q60&lt;&gt;¨N/A¨))</xm:f>
            <x14:dxf>
              <fill>
                <patternFill>
                  <bgColor theme="1" tint="0.499984740745262"/>
                </patternFill>
              </fill>
            </x14:dxf>
          </x14:cfRule>
          <x14:cfRule type="expression" priority="15076" stopIfTrue="1" id="{AC41AEDF-FEB9-4ABB-8FC3-A81E4FDA4905}">
            <xm:f>AND(IF(Q60='F:\Users\norela.briceno\Documents\Plan de acción\Plan Accion 2018\[Plan Accion Integrado ADRES Vigencia 2018 con Cuadro de Mando V6..xlsx]Plan de Accion 2018'!#REF!,Q60&lt;&gt;"N/A"))</xm:f>
            <x14:dxf>
              <fill>
                <patternFill>
                  <bgColor rgb="FF00B050"/>
                </patternFill>
              </fill>
            </x14:dxf>
          </x14:cfRule>
          <x14:cfRule type="expression" priority="15077" stopIfTrue="1" id="{2A5E7A10-6468-45D9-ACAF-75FA1BB781B4}">
            <xm:f>AND(IF(Q60&lt;'F:\Users\norela.briceno\Documents\Plan de acción\Plan Accion 2018\[Plan Accion Integrado ADRES Vigencia 2018 con Cuadro de Mando V6..xlsx]Plan de Accion 2018'!#REF!,Q60&lt;&gt;"N/A"))</xm:f>
            <x14:dxf>
              <fill>
                <patternFill>
                  <bgColor indexed="10"/>
                </patternFill>
              </fill>
            </x14:dxf>
          </x14:cfRule>
          <xm:sqref>Q60</xm:sqref>
        </x14:conditionalFormatting>
        <x14:conditionalFormatting xmlns:xm="http://schemas.microsoft.com/office/excel/2006/main">
          <x14:cfRule type="expression" priority="15072" id="{A4B7E29C-0078-4E31-8CB5-2958E0997A6C}">
            <xm:f>AND(IF(X60&gt;'F:\Users\norela.briceno\Documents\Plan de acción\Plan Accion 2018\[Plan Accion Integrado ADRES Vigencia 2018 con Cuadro de Mando V6..xlsx]Plan de Accion 2018'!#REF!,X60&lt;&gt;¨N/A¨))</xm:f>
            <x14:dxf>
              <fill>
                <patternFill>
                  <bgColor theme="1" tint="0.499984740745262"/>
                </patternFill>
              </fill>
            </x14:dxf>
          </x14:cfRule>
          <x14:cfRule type="expression" priority="15073" stopIfTrue="1" id="{C80018D4-D9DE-422A-B86F-F5DC206DFE55}">
            <xm:f>AND(IF(X60='F:\Users\norela.briceno\Documents\Plan de acción\Plan Accion 2018\[Plan Accion Integrado ADRES Vigencia 2018 con Cuadro de Mando V6..xlsx]Plan de Accion 2018'!#REF!,X60&lt;&gt;"N/A"))</xm:f>
            <x14:dxf>
              <fill>
                <patternFill>
                  <bgColor rgb="FF00B050"/>
                </patternFill>
              </fill>
            </x14:dxf>
          </x14:cfRule>
          <x14:cfRule type="expression" priority="15074" stopIfTrue="1" id="{4D01DA17-530B-4325-9EC5-A7334EEE2BA3}">
            <xm:f>AND(IF(X60&lt;'F:\Users\norela.briceno\Documents\Plan de acción\Plan Accion 2018\[Plan Accion Integrado ADRES Vigencia 2018 con Cuadro de Mando V6..xlsx]Plan de Accion 2018'!#REF!,X60&lt;&gt;"N/A"))</xm:f>
            <x14:dxf>
              <fill>
                <patternFill>
                  <bgColor indexed="10"/>
                </patternFill>
              </fill>
            </x14:dxf>
          </x14:cfRule>
          <xm:sqref>X60</xm:sqref>
        </x14:conditionalFormatting>
        <x14:conditionalFormatting xmlns:xm="http://schemas.microsoft.com/office/excel/2006/main">
          <x14:cfRule type="expression" priority="15069" id="{C551DAEA-2227-41C3-B513-CEC165932429}">
            <xm:f>AND(IF(AE60&gt;'F:\Users\norela.briceno\Documents\Plan de acción\Plan Accion 2018\[Plan Accion Integrado ADRES Vigencia 2018 con Cuadro de Mando V6..xlsx]Plan de Accion 2018'!#REF!,AE60&lt;&gt;¨N/A¨))</xm:f>
            <x14:dxf>
              <fill>
                <patternFill>
                  <bgColor theme="1" tint="0.499984740745262"/>
                </patternFill>
              </fill>
            </x14:dxf>
          </x14:cfRule>
          <x14:cfRule type="expression" priority="15070" stopIfTrue="1" id="{9E5A2DB7-0E7F-4126-B148-A4CB24AB9D52}">
            <xm:f>AND(IF(AE60='F:\Users\norela.briceno\Documents\Plan de acción\Plan Accion 2018\[Plan Accion Integrado ADRES Vigencia 2018 con Cuadro de Mando V6..xlsx]Plan de Accion 2018'!#REF!,AE60&lt;&gt;"N/A"))</xm:f>
            <x14:dxf>
              <fill>
                <patternFill>
                  <bgColor rgb="FF00B050"/>
                </patternFill>
              </fill>
            </x14:dxf>
          </x14:cfRule>
          <x14:cfRule type="expression" priority="15071" stopIfTrue="1" id="{2A00B6F2-3FF3-4D52-BBAA-0773E3FBAF27}">
            <xm:f>AND(IF(AE60&lt;'F:\Users\norela.briceno\Documents\Plan de acción\Plan Accion 2018\[Plan Accion Integrado ADRES Vigencia 2018 con Cuadro de Mando V6..xlsx]Plan de Accion 2018'!#REF!,AE60&lt;&gt;"N/A"))</xm:f>
            <x14:dxf>
              <fill>
                <patternFill>
                  <bgColor indexed="10"/>
                </patternFill>
              </fill>
            </x14:dxf>
          </x14:cfRule>
          <xm:sqref>AE60</xm:sqref>
        </x14:conditionalFormatting>
        <x14:conditionalFormatting xmlns:xm="http://schemas.microsoft.com/office/excel/2006/main">
          <x14:cfRule type="expression" priority="15021" id="{54298840-0BEB-4994-87CB-BE5CB4B308AE}">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022" stopIfTrue="1" id="{DA435023-C7B9-4E32-8202-3DEB503B1398}">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023" stopIfTrue="1" id="{C4167C50-0F78-4352-BB3F-B63D92CABA9B}">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15018" id="{AAD0DC85-150F-4B74-82D0-2A4F478E1708}">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019" stopIfTrue="1" id="{A8DB58C8-DD80-493E-BF3B-94081E0C7902}">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020" stopIfTrue="1" id="{39B30B29-16E3-431D-91F5-23D39EA6B961}">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15015" id="{5477ADCF-B6C9-4D7A-A8DA-332B83D915AC}">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15016" stopIfTrue="1" id="{C3A00E75-0339-4ACC-A896-9C3B2DE69F9F}">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15017" stopIfTrue="1" id="{2EEAC754-2805-4840-A205-56ED42D6ED8C}">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15012" id="{5771593B-4B29-40C0-B146-A9D4C7485256}">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15013" stopIfTrue="1" id="{53019178-7A76-4612-A282-97C48C84CC05}">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15014" stopIfTrue="1" id="{8CFAE905-411E-4E1D-820A-E94A32AF104C}">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15009" id="{18C0EC46-D2EF-47E1-885E-4B7766901B85}">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15010" stopIfTrue="1" id="{BF13FC0D-424C-44ED-BC67-F79E536EE9A7}">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15011" stopIfTrue="1" id="{0158599C-BDA2-4664-90F7-0C9362CFCE23}">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14509" id="{D1CC3B4C-B84E-4E8F-9530-290E50D09CC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4510" stopIfTrue="1" id="{06A18C40-FFB8-40A5-93D2-5B384EE73237}">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4511" stopIfTrue="1" id="{5AE77F3B-C11E-41C9-B1C5-7CBDB3656667}">
            <xm:f>AND(IF(J40&lt;'F:\Users\norela.briceno\Documents\Plan de acción\Plan Accion 2018\[Plan Accion Integrado ADRES Vigencia 2018 con Cuadro de Mando V6..xlsx]Plan de Accion 2018'!#REF!,J40&lt;&gt;"N/A"))</xm:f>
            <x14:dxf>
              <fill>
                <patternFill>
                  <bgColor indexed="10"/>
                </patternFill>
              </fill>
            </x14:dxf>
          </x14:cfRule>
          <xm:sqref>J40 Q40 AE40 X40</xm:sqref>
        </x14:conditionalFormatting>
        <x14:conditionalFormatting xmlns:xm="http://schemas.microsoft.com/office/excel/2006/main">
          <x14:cfRule type="expression" priority="14506" id="{C201ED86-99EA-4BFF-98D3-106DB846B3D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4507" stopIfTrue="1" id="{835F2232-4300-4147-BE64-49731700D3A2}">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4508" stopIfTrue="1" id="{79820CF9-C510-4128-999A-7624E3EA41A0}">
            <xm:f>AND(IF(J40&lt;'F:\Users\norela.briceno\Documents\Plan de acción\Plan Accion 2018\[Plan Accion Integrado ADRES Vigencia 2018 con Cuadro de Mando V6..xlsx]Plan de Accion 2018'!#REF!,J40&lt;&gt;"N/A"))</xm:f>
            <x14:dxf>
              <fill>
                <patternFill>
                  <bgColor indexed="10"/>
                </patternFill>
              </fill>
            </x14:dxf>
          </x14:cfRule>
          <xm:sqref>J40</xm:sqref>
        </x14:conditionalFormatting>
        <x14:conditionalFormatting xmlns:xm="http://schemas.microsoft.com/office/excel/2006/main">
          <x14:cfRule type="expression" priority="14503" id="{2CC2A538-F306-4325-8066-51DD9F9F99F0}">
            <xm:f>AND(IF(Q40&gt;'F:\Users\norela.briceno\Documents\Plan de acción\Plan Accion 2018\[Plan Accion Integrado ADRES Vigencia 2018 con Cuadro de Mando V6..xlsx]Plan de Accion 2018'!#REF!,Q40&lt;&gt;¨N/A¨))</xm:f>
            <x14:dxf>
              <fill>
                <patternFill>
                  <bgColor theme="1" tint="0.499984740745262"/>
                </patternFill>
              </fill>
            </x14:dxf>
          </x14:cfRule>
          <x14:cfRule type="expression" priority="14504" stopIfTrue="1" id="{579741F0-9B9A-4124-A43A-04A79264F07A}">
            <xm:f>AND(IF(Q40='F:\Users\norela.briceno\Documents\Plan de acción\Plan Accion 2018\[Plan Accion Integrado ADRES Vigencia 2018 con Cuadro de Mando V6..xlsx]Plan de Accion 2018'!#REF!,Q40&lt;&gt;"N/A"))</xm:f>
            <x14:dxf>
              <fill>
                <patternFill>
                  <bgColor rgb="FF00B050"/>
                </patternFill>
              </fill>
            </x14:dxf>
          </x14:cfRule>
          <x14:cfRule type="expression" priority="14505" stopIfTrue="1" id="{AA69AD75-F833-4AD2-B434-75956ECE1187}">
            <xm:f>AND(IF(Q40&lt;'F:\Users\norela.briceno\Documents\Plan de acción\Plan Accion 2018\[Plan Accion Integrado ADRES Vigencia 2018 con Cuadro de Mando V6..xlsx]Plan de Accion 2018'!#REF!,Q40&lt;&gt;"N/A"))</xm:f>
            <x14:dxf>
              <fill>
                <patternFill>
                  <bgColor indexed="10"/>
                </patternFill>
              </fill>
            </x14:dxf>
          </x14:cfRule>
          <xm:sqref>Q40</xm:sqref>
        </x14:conditionalFormatting>
        <x14:conditionalFormatting xmlns:xm="http://schemas.microsoft.com/office/excel/2006/main">
          <x14:cfRule type="expression" priority="14500" id="{7DAE7C3B-388C-4046-8373-756425979C86}">
            <xm:f>AND(IF(X40&gt;'F:\Users\norela.briceno\Documents\Plan de acción\Plan Accion 2018\[Plan Accion Integrado ADRES Vigencia 2018 con Cuadro de Mando V6..xlsx]Plan de Accion 2018'!#REF!,X40&lt;&gt;¨N/A¨))</xm:f>
            <x14:dxf>
              <fill>
                <patternFill>
                  <bgColor theme="1" tint="0.499984740745262"/>
                </patternFill>
              </fill>
            </x14:dxf>
          </x14:cfRule>
          <x14:cfRule type="expression" priority="14501" stopIfTrue="1" id="{6535CB50-07AD-41FB-852D-C8D8CD1FD623}">
            <xm:f>AND(IF(X40='F:\Users\norela.briceno\Documents\Plan de acción\Plan Accion 2018\[Plan Accion Integrado ADRES Vigencia 2018 con Cuadro de Mando V6..xlsx]Plan de Accion 2018'!#REF!,X40&lt;&gt;"N/A"))</xm:f>
            <x14:dxf>
              <fill>
                <patternFill>
                  <bgColor rgb="FF00B050"/>
                </patternFill>
              </fill>
            </x14:dxf>
          </x14:cfRule>
          <x14:cfRule type="expression" priority="14502" stopIfTrue="1" id="{8C29E584-1D46-4706-AA0D-75C9FC08A018}">
            <xm:f>AND(IF(X40&lt;'F:\Users\norela.briceno\Documents\Plan de acción\Plan Accion 2018\[Plan Accion Integrado ADRES Vigencia 2018 con Cuadro de Mando V6..xlsx]Plan de Accion 2018'!#REF!,X40&lt;&gt;"N/A"))</xm:f>
            <x14:dxf>
              <fill>
                <patternFill>
                  <bgColor indexed="10"/>
                </patternFill>
              </fill>
            </x14:dxf>
          </x14:cfRule>
          <xm:sqref>X40</xm:sqref>
        </x14:conditionalFormatting>
        <x14:conditionalFormatting xmlns:xm="http://schemas.microsoft.com/office/excel/2006/main">
          <x14:cfRule type="expression" priority="14497" id="{0FD65569-E64E-4AC7-9681-CFF04F31C8A5}">
            <xm:f>AND(IF(AE40&gt;'F:\Users\norela.briceno\Documents\Plan de acción\Plan Accion 2018\[Plan Accion Integrado ADRES Vigencia 2018 con Cuadro de Mando V6..xlsx]Plan de Accion 2018'!#REF!,AE40&lt;&gt;¨N/A¨))</xm:f>
            <x14:dxf>
              <fill>
                <patternFill>
                  <bgColor theme="1" tint="0.499984740745262"/>
                </patternFill>
              </fill>
            </x14:dxf>
          </x14:cfRule>
          <x14:cfRule type="expression" priority="14498" stopIfTrue="1" id="{73794AD4-08B5-4671-BBFF-EE398A549A87}">
            <xm:f>AND(IF(AE40='F:\Users\norela.briceno\Documents\Plan de acción\Plan Accion 2018\[Plan Accion Integrado ADRES Vigencia 2018 con Cuadro de Mando V6..xlsx]Plan de Accion 2018'!#REF!,AE40&lt;&gt;"N/A"))</xm:f>
            <x14:dxf>
              <fill>
                <patternFill>
                  <bgColor rgb="FF00B050"/>
                </patternFill>
              </fill>
            </x14:dxf>
          </x14:cfRule>
          <x14:cfRule type="expression" priority="14499" stopIfTrue="1" id="{D5DDCDC7-B3BA-4A43-AF6D-19EEC71C2B5E}">
            <xm:f>AND(IF(AE40&lt;'F:\Users\norela.briceno\Documents\Plan de acción\Plan Accion 2018\[Plan Accion Integrado ADRES Vigencia 2018 con Cuadro de Mando V6..xlsx]Plan de Accion 2018'!#REF!,AE40&lt;&gt;"N/A"))</xm:f>
            <x14:dxf>
              <fill>
                <patternFill>
                  <bgColor indexed="10"/>
                </patternFill>
              </fill>
            </x14:dxf>
          </x14:cfRule>
          <xm:sqref>AE40</xm:sqref>
        </x14:conditionalFormatting>
        <x14:conditionalFormatting xmlns:xm="http://schemas.microsoft.com/office/excel/2006/main">
          <x14:cfRule type="expression" priority="14444" id="{CD3A6A47-ABB8-4AC6-925E-6341CCFFEF23}">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4445" stopIfTrue="1" id="{0E84F491-38F0-48EB-9F04-E56118051729}">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4446" stopIfTrue="1" id="{32B9CF14-8ACB-4660-8585-E588C11733FC}">
            <xm:f>AND(IF(J42&lt;'F:\Users\norela.briceno\Documents\Plan de acción\Plan Accion 2018\[Plan Accion Integrado ADRES Vigencia 2018 con Cuadro de Mando V6..xlsx]Plan de Accion 2018'!#REF!,J42&lt;&gt;"N/A"))</xm:f>
            <x14:dxf>
              <fill>
                <patternFill>
                  <bgColor indexed="10"/>
                </patternFill>
              </fill>
            </x14:dxf>
          </x14:cfRule>
          <xm:sqref>J42 Q42 AE42 X42 J47 Q47 X47 AE47 J49 Q49 X49 AE49 J53 Q53 X53 AE53</xm:sqref>
        </x14:conditionalFormatting>
        <x14:conditionalFormatting xmlns:xm="http://schemas.microsoft.com/office/excel/2006/main">
          <x14:cfRule type="expression" priority="14441" id="{CD5A2906-39C5-48A7-B482-DB1394C10E54}">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4442" stopIfTrue="1" id="{829C1036-2019-4E8F-833A-6AB367816340}">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4443" stopIfTrue="1" id="{A1A91FAA-886F-4D34-A2F7-90822DAF70F0}">
            <xm:f>AND(IF(J42&lt;'F:\Users\norela.briceno\Documents\Plan de acción\Plan Accion 2018\[Plan Accion Integrado ADRES Vigencia 2018 con Cuadro de Mando V6..xlsx]Plan de Accion 2018'!#REF!,J42&lt;&gt;"N/A"))</xm:f>
            <x14:dxf>
              <fill>
                <patternFill>
                  <bgColor indexed="10"/>
                </patternFill>
              </fill>
            </x14:dxf>
          </x14:cfRule>
          <xm:sqref>J42 J47 J49 J53</xm:sqref>
        </x14:conditionalFormatting>
        <x14:conditionalFormatting xmlns:xm="http://schemas.microsoft.com/office/excel/2006/main">
          <x14:cfRule type="expression" priority="14438" id="{B3914C2E-6C48-47FD-A6E2-339A66522AC1}">
            <xm:f>AND(IF(Q42&gt;'F:\Users\norela.briceno\Documents\Plan de acción\Plan Accion 2018\[Plan Accion Integrado ADRES Vigencia 2018 con Cuadro de Mando V6..xlsx]Plan de Accion 2018'!#REF!,Q42&lt;&gt;¨N/A¨))</xm:f>
            <x14:dxf>
              <fill>
                <patternFill>
                  <bgColor theme="1" tint="0.499984740745262"/>
                </patternFill>
              </fill>
            </x14:dxf>
          </x14:cfRule>
          <x14:cfRule type="expression" priority="14439" stopIfTrue="1" id="{E4109FC0-8421-438B-9FB5-C866B0684741}">
            <xm:f>AND(IF(Q42='F:\Users\norela.briceno\Documents\Plan de acción\Plan Accion 2018\[Plan Accion Integrado ADRES Vigencia 2018 con Cuadro de Mando V6..xlsx]Plan de Accion 2018'!#REF!,Q42&lt;&gt;"N/A"))</xm:f>
            <x14:dxf>
              <fill>
                <patternFill>
                  <bgColor rgb="FF00B050"/>
                </patternFill>
              </fill>
            </x14:dxf>
          </x14:cfRule>
          <x14:cfRule type="expression" priority="14440" stopIfTrue="1" id="{33BD8AB4-AE62-459F-898E-56CDD7FCE8E9}">
            <xm:f>AND(IF(Q42&lt;'F:\Users\norela.briceno\Documents\Plan de acción\Plan Accion 2018\[Plan Accion Integrado ADRES Vigencia 2018 con Cuadro de Mando V6..xlsx]Plan de Accion 2018'!#REF!,Q42&lt;&gt;"N/A"))</xm:f>
            <x14:dxf>
              <fill>
                <patternFill>
                  <bgColor indexed="10"/>
                </patternFill>
              </fill>
            </x14:dxf>
          </x14:cfRule>
          <xm:sqref>Q42 Q47 Q49 Q53</xm:sqref>
        </x14:conditionalFormatting>
        <x14:conditionalFormatting xmlns:xm="http://schemas.microsoft.com/office/excel/2006/main">
          <x14:cfRule type="expression" priority="14435" id="{9822719E-A25D-404E-ADF0-B277F020D032}">
            <xm:f>AND(IF(X42&gt;'F:\Users\norela.briceno\Documents\Plan de acción\Plan Accion 2018\[Plan Accion Integrado ADRES Vigencia 2018 con Cuadro de Mando V6..xlsx]Plan de Accion 2018'!#REF!,X42&lt;&gt;¨N/A¨))</xm:f>
            <x14:dxf>
              <fill>
                <patternFill>
                  <bgColor theme="1" tint="0.499984740745262"/>
                </patternFill>
              </fill>
            </x14:dxf>
          </x14:cfRule>
          <x14:cfRule type="expression" priority="14436" stopIfTrue="1" id="{ECA9F347-20BA-4093-9017-D836D4FA305C}">
            <xm:f>AND(IF(X42='F:\Users\norela.briceno\Documents\Plan de acción\Plan Accion 2018\[Plan Accion Integrado ADRES Vigencia 2018 con Cuadro de Mando V6..xlsx]Plan de Accion 2018'!#REF!,X42&lt;&gt;"N/A"))</xm:f>
            <x14:dxf>
              <fill>
                <patternFill>
                  <bgColor rgb="FF00B050"/>
                </patternFill>
              </fill>
            </x14:dxf>
          </x14:cfRule>
          <x14:cfRule type="expression" priority="14437" stopIfTrue="1" id="{2C90F970-7C4A-404B-9C5E-817E21E2DCB9}">
            <xm:f>AND(IF(X42&lt;'F:\Users\norela.briceno\Documents\Plan de acción\Plan Accion 2018\[Plan Accion Integrado ADRES Vigencia 2018 con Cuadro de Mando V6..xlsx]Plan de Accion 2018'!#REF!,X42&lt;&gt;"N/A"))</xm:f>
            <x14:dxf>
              <fill>
                <patternFill>
                  <bgColor indexed="10"/>
                </patternFill>
              </fill>
            </x14:dxf>
          </x14:cfRule>
          <xm:sqref>X42 X47 X49 X53</xm:sqref>
        </x14:conditionalFormatting>
        <x14:conditionalFormatting xmlns:xm="http://schemas.microsoft.com/office/excel/2006/main">
          <x14:cfRule type="expression" priority="14432" id="{983117DF-D5A9-49B6-AB91-63F276AD2298}">
            <xm:f>AND(IF(AE42&gt;'F:\Users\norela.briceno\Documents\Plan de acción\Plan Accion 2018\[Plan Accion Integrado ADRES Vigencia 2018 con Cuadro de Mando V6..xlsx]Plan de Accion 2018'!#REF!,AE42&lt;&gt;¨N/A¨))</xm:f>
            <x14:dxf>
              <fill>
                <patternFill>
                  <bgColor theme="1" tint="0.499984740745262"/>
                </patternFill>
              </fill>
            </x14:dxf>
          </x14:cfRule>
          <x14:cfRule type="expression" priority="14433" stopIfTrue="1" id="{EE4374FD-E8C1-42FE-9F6A-A0183579C92C}">
            <xm:f>AND(IF(AE42='F:\Users\norela.briceno\Documents\Plan de acción\Plan Accion 2018\[Plan Accion Integrado ADRES Vigencia 2018 con Cuadro de Mando V6..xlsx]Plan de Accion 2018'!#REF!,AE42&lt;&gt;"N/A"))</xm:f>
            <x14:dxf>
              <fill>
                <patternFill>
                  <bgColor rgb="FF00B050"/>
                </patternFill>
              </fill>
            </x14:dxf>
          </x14:cfRule>
          <x14:cfRule type="expression" priority="14434" stopIfTrue="1" id="{CE0C1EFE-BB9B-437C-8888-A2D994E15CA0}">
            <xm:f>AND(IF(AE42&lt;'F:\Users\norela.briceno\Documents\Plan de acción\Plan Accion 2018\[Plan Accion Integrado ADRES Vigencia 2018 con Cuadro de Mando V6..xlsx]Plan de Accion 2018'!#REF!,AE42&lt;&gt;"N/A"))</xm:f>
            <x14:dxf>
              <fill>
                <patternFill>
                  <bgColor indexed="10"/>
                </patternFill>
              </fill>
            </x14:dxf>
          </x14:cfRule>
          <xm:sqref>AE42 AE47 AE49 AE53</xm:sqref>
        </x14:conditionalFormatting>
        <x14:conditionalFormatting xmlns:xm="http://schemas.microsoft.com/office/excel/2006/main">
          <x14:cfRule type="expression" priority="14379" id="{0DC2CD72-EB77-414D-A455-EA57CD891D99}">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4380" stopIfTrue="1" id="{10AF2373-CC5F-4B02-AF78-ABBB38537DE3}">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4381" stopIfTrue="1" id="{357C4298-8611-49B6-ADD9-D576619E0185}">
            <xm:f>AND(IF(J41&lt;'F:\Users\norela.briceno\Documents\Plan de acción\Plan Accion 2018\[Plan Accion Integrado ADRES Vigencia 2018 con Cuadro de Mando V6..xlsx]Plan de Accion 2018'!#REF!,J41&lt;&gt;"N/A"))</xm:f>
            <x14:dxf>
              <fill>
                <patternFill>
                  <bgColor indexed="10"/>
                </patternFill>
              </fill>
            </x14:dxf>
          </x14:cfRule>
          <xm:sqref>J41 Q41 AE41 X41</xm:sqref>
        </x14:conditionalFormatting>
        <x14:conditionalFormatting xmlns:xm="http://schemas.microsoft.com/office/excel/2006/main">
          <x14:cfRule type="expression" priority="14376" id="{6FAEF737-A578-440B-B688-D95D2181042C}">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4377" stopIfTrue="1" id="{85BECCC9-2307-471A-9004-B19B03D61CFA}">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4378" stopIfTrue="1" id="{02B93B50-1043-45E4-9248-B3261EB228BB}">
            <xm:f>AND(IF(J41&lt;'F:\Users\norela.briceno\Documents\Plan de acción\Plan Accion 2018\[Plan Accion Integrado ADRES Vigencia 2018 con Cuadro de Mando V6..xlsx]Plan de Accion 2018'!#REF!,J41&lt;&gt;"N/A"))</xm:f>
            <x14:dxf>
              <fill>
                <patternFill>
                  <bgColor indexed="10"/>
                </patternFill>
              </fill>
            </x14:dxf>
          </x14:cfRule>
          <xm:sqref>J41</xm:sqref>
        </x14:conditionalFormatting>
        <x14:conditionalFormatting xmlns:xm="http://schemas.microsoft.com/office/excel/2006/main">
          <x14:cfRule type="expression" priority="14373" id="{E3885FA0-90DA-46A1-9B19-6D5AEFD56BC3}">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4374" stopIfTrue="1" id="{09969D9F-E5D3-41BD-8B5F-B49EEC3340E9}">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4375" stopIfTrue="1" id="{84C45A23-FE03-457D-8C16-AFCD44DA38D3}">
            <xm:f>AND(IF(Q41&lt;'F:\Users\norela.briceno\Documents\Plan de acción\Plan Accion 2018\[Plan Accion Integrado ADRES Vigencia 2018 con Cuadro de Mando V6..xlsx]Plan de Accion 2018'!#REF!,Q41&lt;&gt;"N/A"))</xm:f>
            <x14:dxf>
              <fill>
                <patternFill>
                  <bgColor indexed="10"/>
                </patternFill>
              </fill>
            </x14:dxf>
          </x14:cfRule>
          <xm:sqref>Q41</xm:sqref>
        </x14:conditionalFormatting>
        <x14:conditionalFormatting xmlns:xm="http://schemas.microsoft.com/office/excel/2006/main">
          <x14:cfRule type="expression" priority="14370" id="{7C2AC617-61CC-473F-8128-97520C63F856}">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4371" stopIfTrue="1" id="{58A4AEFA-9011-408B-826E-8F545023FAAE}">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4372" stopIfTrue="1" id="{4141D14D-CC83-43C3-81D8-1851608665FD}">
            <xm:f>AND(IF(X41&lt;'F:\Users\norela.briceno\Documents\Plan de acción\Plan Accion 2018\[Plan Accion Integrado ADRES Vigencia 2018 con Cuadro de Mando V6..xlsx]Plan de Accion 2018'!#REF!,X41&lt;&gt;"N/A"))</xm:f>
            <x14:dxf>
              <fill>
                <patternFill>
                  <bgColor indexed="10"/>
                </patternFill>
              </fill>
            </x14:dxf>
          </x14:cfRule>
          <xm:sqref>X41</xm:sqref>
        </x14:conditionalFormatting>
        <x14:conditionalFormatting xmlns:xm="http://schemas.microsoft.com/office/excel/2006/main">
          <x14:cfRule type="expression" priority="14367" id="{2B819D09-4389-40C3-B990-03035C98CDA1}">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4368" stopIfTrue="1" id="{C12A55F3-2DAF-4C59-8C1A-FA2A091F8E9C}">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4369" stopIfTrue="1" id="{72C33960-58E4-4118-9482-E342DA2B0545}">
            <xm:f>AND(IF(AE41&lt;'F:\Users\norela.briceno\Documents\Plan de acción\Plan Accion 2018\[Plan Accion Integrado ADRES Vigencia 2018 con Cuadro de Mando V6..xlsx]Plan de Accion 2018'!#REF!,AE41&lt;&gt;"N/A"))</xm:f>
            <x14:dxf>
              <fill>
                <patternFill>
                  <bgColor indexed="10"/>
                </patternFill>
              </fill>
            </x14:dxf>
          </x14:cfRule>
          <xm:sqref>AE41</xm:sqref>
        </x14:conditionalFormatting>
        <x14:conditionalFormatting xmlns:xm="http://schemas.microsoft.com/office/excel/2006/main">
          <x14:cfRule type="expression" priority="14314" id="{F912145C-40F5-44C5-86B3-D54497FEE1FD}">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4315" stopIfTrue="1" id="{AAE75C81-0DED-49B0-8290-56C58D38E38B}">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4316" stopIfTrue="1" id="{B01AF5D2-4262-4204-8F8E-617B14E6AC7C}">
            <xm:f>AND(IF(J58&lt;'F:\Users\norela.briceno\Documents\Plan de acción\Plan Accion 2018\[Plan Accion Integrado ADRES Vigencia 2018 con Cuadro de Mando V6..xlsx]Plan de Accion 2018'!#REF!,J58&lt;&gt;"N/A"))</xm:f>
            <x14:dxf>
              <fill>
                <patternFill>
                  <bgColor indexed="10"/>
                </patternFill>
              </fill>
            </x14:dxf>
          </x14:cfRule>
          <xm:sqref>J58 Q58 X58 AE58</xm:sqref>
        </x14:conditionalFormatting>
        <x14:conditionalFormatting xmlns:xm="http://schemas.microsoft.com/office/excel/2006/main">
          <x14:cfRule type="expression" priority="14311" id="{C8CE10D7-BB85-4E22-9797-FEA40DDB3694}">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4312" stopIfTrue="1" id="{4D0A659C-F7A9-494A-86C7-5B862809579D}">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4313" stopIfTrue="1" id="{CB48F9A7-0FD1-4AA9-9517-8C0833F27595}">
            <xm:f>AND(IF(J58&lt;'F:\Users\norela.briceno\Documents\Plan de acción\Plan Accion 2018\[Plan Accion Integrado ADRES Vigencia 2018 con Cuadro de Mando V6..xlsx]Plan de Accion 2018'!#REF!,J58&lt;&gt;"N/A"))</xm:f>
            <x14:dxf>
              <fill>
                <patternFill>
                  <bgColor indexed="10"/>
                </patternFill>
              </fill>
            </x14:dxf>
          </x14:cfRule>
          <xm:sqref>J58</xm:sqref>
        </x14:conditionalFormatting>
        <x14:conditionalFormatting xmlns:xm="http://schemas.microsoft.com/office/excel/2006/main">
          <x14:cfRule type="expression" priority="14308" id="{2AEBFB92-8CF5-4508-804E-990696FDC32E}">
            <xm:f>AND(IF(Q58&gt;'F:\Users\norela.briceno\Documents\Plan de acción\Plan Accion 2018\[Plan Accion Integrado ADRES Vigencia 2018 con Cuadro de Mando V6..xlsx]Plan de Accion 2018'!#REF!,Q58&lt;&gt;¨N/A¨))</xm:f>
            <x14:dxf>
              <fill>
                <patternFill>
                  <bgColor theme="1" tint="0.499984740745262"/>
                </patternFill>
              </fill>
            </x14:dxf>
          </x14:cfRule>
          <x14:cfRule type="expression" priority="14309" stopIfTrue="1" id="{FAE9FED6-2CE3-4952-ABCF-9318724C8045}">
            <xm:f>AND(IF(Q58='F:\Users\norela.briceno\Documents\Plan de acción\Plan Accion 2018\[Plan Accion Integrado ADRES Vigencia 2018 con Cuadro de Mando V6..xlsx]Plan de Accion 2018'!#REF!,Q58&lt;&gt;"N/A"))</xm:f>
            <x14:dxf>
              <fill>
                <patternFill>
                  <bgColor rgb="FF00B050"/>
                </patternFill>
              </fill>
            </x14:dxf>
          </x14:cfRule>
          <x14:cfRule type="expression" priority="14310" stopIfTrue="1" id="{FA3AC104-0167-4355-8A6D-4D3C5B55D4B8}">
            <xm:f>AND(IF(Q58&lt;'F:\Users\norela.briceno\Documents\Plan de acción\Plan Accion 2018\[Plan Accion Integrado ADRES Vigencia 2018 con Cuadro de Mando V6..xlsx]Plan de Accion 2018'!#REF!,Q58&lt;&gt;"N/A"))</xm:f>
            <x14:dxf>
              <fill>
                <patternFill>
                  <bgColor indexed="10"/>
                </patternFill>
              </fill>
            </x14:dxf>
          </x14:cfRule>
          <xm:sqref>Q58</xm:sqref>
        </x14:conditionalFormatting>
        <x14:conditionalFormatting xmlns:xm="http://schemas.microsoft.com/office/excel/2006/main">
          <x14:cfRule type="expression" priority="14305" id="{E4F2DE0E-301E-4293-A52F-0F71DF0398BD}">
            <xm:f>AND(IF(X58&gt;'F:\Users\norela.briceno\Documents\Plan de acción\Plan Accion 2018\[Plan Accion Integrado ADRES Vigencia 2018 con Cuadro de Mando V6..xlsx]Plan de Accion 2018'!#REF!,X58&lt;&gt;¨N/A¨))</xm:f>
            <x14:dxf>
              <fill>
                <patternFill>
                  <bgColor theme="1" tint="0.499984740745262"/>
                </patternFill>
              </fill>
            </x14:dxf>
          </x14:cfRule>
          <x14:cfRule type="expression" priority="14306" stopIfTrue="1" id="{6DFFFA9F-823C-4117-9B99-9EBE98326E4F}">
            <xm:f>AND(IF(X58='F:\Users\norela.briceno\Documents\Plan de acción\Plan Accion 2018\[Plan Accion Integrado ADRES Vigencia 2018 con Cuadro de Mando V6..xlsx]Plan de Accion 2018'!#REF!,X58&lt;&gt;"N/A"))</xm:f>
            <x14:dxf>
              <fill>
                <patternFill>
                  <bgColor rgb="FF00B050"/>
                </patternFill>
              </fill>
            </x14:dxf>
          </x14:cfRule>
          <x14:cfRule type="expression" priority="14307" stopIfTrue="1" id="{298C3704-9483-4C8C-8827-F91C7352827C}">
            <xm:f>AND(IF(X58&lt;'F:\Users\norela.briceno\Documents\Plan de acción\Plan Accion 2018\[Plan Accion Integrado ADRES Vigencia 2018 con Cuadro de Mando V6..xlsx]Plan de Accion 2018'!#REF!,X58&lt;&gt;"N/A"))</xm:f>
            <x14:dxf>
              <fill>
                <patternFill>
                  <bgColor indexed="10"/>
                </patternFill>
              </fill>
            </x14:dxf>
          </x14:cfRule>
          <xm:sqref>X58</xm:sqref>
        </x14:conditionalFormatting>
        <x14:conditionalFormatting xmlns:xm="http://schemas.microsoft.com/office/excel/2006/main">
          <x14:cfRule type="expression" priority="14302" id="{27C4B1C2-5212-4F56-A93F-63776A3226F3}">
            <xm:f>AND(IF(AE58&gt;'F:\Users\norela.briceno\Documents\Plan de acción\Plan Accion 2018\[Plan Accion Integrado ADRES Vigencia 2018 con Cuadro de Mando V6..xlsx]Plan de Accion 2018'!#REF!,AE58&lt;&gt;¨N/A¨))</xm:f>
            <x14:dxf>
              <fill>
                <patternFill>
                  <bgColor theme="1" tint="0.499984740745262"/>
                </patternFill>
              </fill>
            </x14:dxf>
          </x14:cfRule>
          <x14:cfRule type="expression" priority="14303" stopIfTrue="1" id="{47242C76-4D32-482F-A53F-F5734F566E0E}">
            <xm:f>AND(IF(AE58='F:\Users\norela.briceno\Documents\Plan de acción\Plan Accion 2018\[Plan Accion Integrado ADRES Vigencia 2018 con Cuadro de Mando V6..xlsx]Plan de Accion 2018'!#REF!,AE58&lt;&gt;"N/A"))</xm:f>
            <x14:dxf>
              <fill>
                <patternFill>
                  <bgColor rgb="FF00B050"/>
                </patternFill>
              </fill>
            </x14:dxf>
          </x14:cfRule>
          <x14:cfRule type="expression" priority="14304" stopIfTrue="1" id="{580B687B-0BF3-4270-B166-D3B6C0D3D483}">
            <xm:f>AND(IF(AE58&lt;'F:\Users\norela.briceno\Documents\Plan de acción\Plan Accion 2018\[Plan Accion Integrado ADRES Vigencia 2018 con Cuadro de Mando V6..xlsx]Plan de Accion 2018'!#REF!,AE58&lt;&gt;"N/A"))</xm:f>
            <x14:dxf>
              <fill>
                <patternFill>
                  <bgColor indexed="10"/>
                </patternFill>
              </fill>
            </x14:dxf>
          </x14:cfRule>
          <xm:sqref>AE58</xm:sqref>
        </x14:conditionalFormatting>
        <x14:conditionalFormatting xmlns:xm="http://schemas.microsoft.com/office/excel/2006/main">
          <x14:cfRule type="expression" priority="13964" id="{84D42019-0F45-4A27-9D69-610E6BC18D10}">
            <xm:f>AND(IF(J240&gt;'F:\Users\norela.briceno\Documents\Plan de acción\Plan Accion 2018\[Plan Accion Integrado ADRES Vigencia 2018 con Cuadro de Mando V6..xlsx]Plan de Accion 2018'!#REF!,J240&lt;&gt;¨N/A¨))</xm:f>
            <x14:dxf>
              <fill>
                <patternFill>
                  <bgColor theme="1" tint="0.499984740745262"/>
                </patternFill>
              </fill>
            </x14:dxf>
          </x14:cfRule>
          <x14:cfRule type="expression" priority="13965" stopIfTrue="1" id="{35CDD236-6341-44FD-9971-B7ADF6D973E7}">
            <xm:f>AND(IF(J240='F:\Users\norela.briceno\Documents\Plan de acción\Plan Accion 2018\[Plan Accion Integrado ADRES Vigencia 2018 con Cuadro de Mando V6..xlsx]Plan de Accion 2018'!#REF!,J240&lt;&gt;"N/A"))</xm:f>
            <x14:dxf>
              <fill>
                <patternFill>
                  <bgColor rgb="FF00B050"/>
                </patternFill>
              </fill>
            </x14:dxf>
          </x14:cfRule>
          <x14:cfRule type="expression" priority="13966" stopIfTrue="1" id="{6231B713-CC2E-4B3C-A101-D996861CA843}">
            <xm:f>AND(IF(J240&lt;'F:\Users\norela.briceno\Documents\Plan de acción\Plan Accion 2018\[Plan Accion Integrado ADRES Vigencia 2018 con Cuadro de Mando V6..xlsx]Plan de Accion 2018'!#REF!,J240&lt;&gt;"N/A"))</xm:f>
            <x14:dxf>
              <fill>
                <patternFill>
                  <bgColor indexed="10"/>
                </patternFill>
              </fill>
            </x14:dxf>
          </x14:cfRule>
          <xm:sqref>J240 Q240 X240 AE240</xm:sqref>
        </x14:conditionalFormatting>
        <x14:conditionalFormatting xmlns:xm="http://schemas.microsoft.com/office/excel/2006/main">
          <x14:cfRule type="expression" priority="13906" id="{64ED3E82-69EB-4FE2-A88C-5B3AA6947D88}">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13907" stopIfTrue="1" id="{72BD0372-F372-41EC-9885-D5BDD717896A}">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13908" stopIfTrue="1" id="{1B204EF3-61D0-4CDC-8ABD-B900A9E17DDE}">
            <xm:f>AND(IF(J241&lt;'F:\Users\norela.briceno\Documents\Plan de acción\Plan Accion 2018\[Plan Accion Integrado ADRES Vigencia 2018 con Cuadro de Mando V6..xlsx]Plan de Accion 2018'!#REF!,J241&lt;&gt;"N/A"))</xm:f>
            <x14:dxf>
              <fill>
                <patternFill>
                  <bgColor indexed="10"/>
                </patternFill>
              </fill>
            </x14:dxf>
          </x14:cfRule>
          <xm:sqref>J241 Q241 X241 AE241</xm:sqref>
        </x14:conditionalFormatting>
        <x14:conditionalFormatting xmlns:xm="http://schemas.microsoft.com/office/excel/2006/main">
          <x14:cfRule type="expression" priority="13558" id="{CA2B5940-510B-4440-915F-9B413FF0688D}">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13559" stopIfTrue="1" id="{F54094FC-C09C-44CC-97E5-6629B5AD2B8E}">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13560" stopIfTrue="1" id="{DF32A529-F652-4DD2-801F-E65D7667DADC}">
            <xm:f>AND(IF(J252&lt;'F:\Users\norela.briceno\Documents\Plan de acción\Plan Accion 2018\[Plan Accion Integrado ADRES Vigencia 2018 con Cuadro de Mando V6..xlsx]Plan de Accion 2018'!#REF!,J252&lt;&gt;"N/A"))</xm:f>
            <x14:dxf>
              <fill>
                <patternFill>
                  <bgColor indexed="10"/>
                </patternFill>
              </fill>
            </x14:dxf>
          </x14:cfRule>
          <xm:sqref>J252 Q252 X252 AE252</xm:sqref>
        </x14:conditionalFormatting>
        <x14:conditionalFormatting xmlns:xm="http://schemas.microsoft.com/office/excel/2006/main">
          <x14:cfRule type="expression" priority="13520" id="{56C0F5E0-D1E3-42A4-9E9A-30636DA5545D}">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3521" stopIfTrue="1" id="{D6EFE195-4FFD-4177-8AD9-2650950B3102}">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3522" stopIfTrue="1" id="{015840C4-44BC-480D-BB70-85D4C31A041D}">
            <xm:f>AND(IF(J66&lt;'F:\Users\norela.briceno\Documents\Plan de acción\Plan Accion 2018\[Plan Accion Integrado ADRES Vigencia 2018 con Cuadro de Mando V6..xlsx]Plan de Accion 2018'!#REF!,J66&lt;&gt;"N/A"))</xm:f>
            <x14:dxf>
              <fill>
                <patternFill>
                  <bgColor indexed="10"/>
                </patternFill>
              </fill>
            </x14:dxf>
          </x14:cfRule>
          <xm:sqref>J66 Q66 AE66 X66</xm:sqref>
        </x14:conditionalFormatting>
        <x14:conditionalFormatting xmlns:xm="http://schemas.microsoft.com/office/excel/2006/main">
          <x14:cfRule type="expression" priority="13517" id="{386EE220-C729-4D69-B2BA-77FB85067610}">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3518" stopIfTrue="1" id="{9E4BAF48-B226-4060-A2B2-D4D01B2D47B1}">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3519" stopIfTrue="1" id="{A18D8C3E-4E4C-4A9F-9886-ACC77CF26B37}">
            <xm:f>AND(IF(J66&lt;'F:\Users\norela.briceno\Documents\Plan de acción\Plan Accion 2018\[Plan Accion Integrado ADRES Vigencia 2018 con Cuadro de Mando V6..xlsx]Plan de Accion 2018'!#REF!,J66&lt;&gt;"N/A"))</xm:f>
            <x14:dxf>
              <fill>
                <patternFill>
                  <bgColor indexed="10"/>
                </patternFill>
              </fill>
            </x14:dxf>
          </x14:cfRule>
          <xm:sqref>J66</xm:sqref>
        </x14:conditionalFormatting>
        <x14:conditionalFormatting xmlns:xm="http://schemas.microsoft.com/office/excel/2006/main">
          <x14:cfRule type="expression" priority="13514" id="{B19EF24B-94D7-41E4-A2EE-44ACC1972D4B}">
            <xm:f>AND(IF(Q66&gt;'F:\Users\norela.briceno\Documents\Plan de acción\Plan Accion 2018\[Plan Accion Integrado ADRES Vigencia 2018 con Cuadro de Mando V6..xlsx]Plan de Accion 2018'!#REF!,Q66&lt;&gt;¨N/A¨))</xm:f>
            <x14:dxf>
              <fill>
                <patternFill>
                  <bgColor theme="1" tint="0.499984740745262"/>
                </patternFill>
              </fill>
            </x14:dxf>
          </x14:cfRule>
          <x14:cfRule type="expression" priority="13515" stopIfTrue="1" id="{7D42F99B-D33D-4904-9943-D552AC1C4C7B}">
            <xm:f>AND(IF(Q66='F:\Users\norela.briceno\Documents\Plan de acción\Plan Accion 2018\[Plan Accion Integrado ADRES Vigencia 2018 con Cuadro de Mando V6..xlsx]Plan de Accion 2018'!#REF!,Q66&lt;&gt;"N/A"))</xm:f>
            <x14:dxf>
              <fill>
                <patternFill>
                  <bgColor rgb="FF00B050"/>
                </patternFill>
              </fill>
            </x14:dxf>
          </x14:cfRule>
          <x14:cfRule type="expression" priority="13516" stopIfTrue="1" id="{4E1A9FFA-F5E8-4CAB-A1C2-466BDCF2913C}">
            <xm:f>AND(IF(Q66&lt;'F:\Users\norela.briceno\Documents\Plan de acción\Plan Accion 2018\[Plan Accion Integrado ADRES Vigencia 2018 con Cuadro de Mando V6..xlsx]Plan de Accion 2018'!#REF!,Q66&lt;&gt;"N/A"))</xm:f>
            <x14:dxf>
              <fill>
                <patternFill>
                  <bgColor indexed="10"/>
                </patternFill>
              </fill>
            </x14:dxf>
          </x14:cfRule>
          <xm:sqref>Q66</xm:sqref>
        </x14:conditionalFormatting>
        <x14:conditionalFormatting xmlns:xm="http://schemas.microsoft.com/office/excel/2006/main">
          <x14:cfRule type="expression" priority="13511" id="{5947F36A-9A32-4C1D-A88B-E49B1B8B82DC}">
            <xm:f>AND(IF(X66&gt;'F:\Users\norela.briceno\Documents\Plan de acción\Plan Accion 2018\[Plan Accion Integrado ADRES Vigencia 2018 con Cuadro de Mando V6..xlsx]Plan de Accion 2018'!#REF!,X66&lt;&gt;¨N/A¨))</xm:f>
            <x14:dxf>
              <fill>
                <patternFill>
                  <bgColor theme="1" tint="0.499984740745262"/>
                </patternFill>
              </fill>
            </x14:dxf>
          </x14:cfRule>
          <x14:cfRule type="expression" priority="13512" stopIfTrue="1" id="{691B70C9-B7D4-4346-8DC2-1CAD03113665}">
            <xm:f>AND(IF(X66='F:\Users\norela.briceno\Documents\Plan de acción\Plan Accion 2018\[Plan Accion Integrado ADRES Vigencia 2018 con Cuadro de Mando V6..xlsx]Plan de Accion 2018'!#REF!,X66&lt;&gt;"N/A"))</xm:f>
            <x14:dxf>
              <fill>
                <patternFill>
                  <bgColor rgb="FF00B050"/>
                </patternFill>
              </fill>
            </x14:dxf>
          </x14:cfRule>
          <x14:cfRule type="expression" priority="13513" stopIfTrue="1" id="{ACB5EE29-E181-465B-BDA0-686DC8563147}">
            <xm:f>AND(IF(X66&lt;'F:\Users\norela.briceno\Documents\Plan de acción\Plan Accion 2018\[Plan Accion Integrado ADRES Vigencia 2018 con Cuadro de Mando V6..xlsx]Plan de Accion 2018'!#REF!,X66&lt;&gt;"N/A"))</xm:f>
            <x14:dxf>
              <fill>
                <patternFill>
                  <bgColor indexed="10"/>
                </patternFill>
              </fill>
            </x14:dxf>
          </x14:cfRule>
          <xm:sqref>X66</xm:sqref>
        </x14:conditionalFormatting>
        <x14:conditionalFormatting xmlns:xm="http://schemas.microsoft.com/office/excel/2006/main">
          <x14:cfRule type="expression" priority="13508" id="{2541FD96-C574-476E-AA6B-A5B2A9E5EF6D}">
            <xm:f>AND(IF(AE66&gt;'F:\Users\norela.briceno\Documents\Plan de acción\Plan Accion 2018\[Plan Accion Integrado ADRES Vigencia 2018 con Cuadro de Mando V6..xlsx]Plan de Accion 2018'!#REF!,AE66&lt;&gt;¨N/A¨))</xm:f>
            <x14:dxf>
              <fill>
                <patternFill>
                  <bgColor theme="1" tint="0.499984740745262"/>
                </patternFill>
              </fill>
            </x14:dxf>
          </x14:cfRule>
          <x14:cfRule type="expression" priority="13509" stopIfTrue="1" id="{6D3A43E1-D57D-49A1-9660-F41C57A2C899}">
            <xm:f>AND(IF(AE66='F:\Users\norela.briceno\Documents\Plan de acción\Plan Accion 2018\[Plan Accion Integrado ADRES Vigencia 2018 con Cuadro de Mando V6..xlsx]Plan de Accion 2018'!#REF!,AE66&lt;&gt;"N/A"))</xm:f>
            <x14:dxf>
              <fill>
                <patternFill>
                  <bgColor rgb="FF00B050"/>
                </patternFill>
              </fill>
            </x14:dxf>
          </x14:cfRule>
          <x14:cfRule type="expression" priority="13510" stopIfTrue="1" id="{4D70B40A-54FB-4278-802A-F4B26C1D1DBF}">
            <xm:f>AND(IF(AE66&lt;'F:\Users\norela.briceno\Documents\Plan de acción\Plan Accion 2018\[Plan Accion Integrado ADRES Vigencia 2018 con Cuadro de Mando V6..xlsx]Plan de Accion 2018'!#REF!,AE66&lt;&gt;"N/A"))</xm:f>
            <x14:dxf>
              <fill>
                <patternFill>
                  <bgColor indexed="10"/>
                </patternFill>
              </fill>
            </x14:dxf>
          </x14:cfRule>
          <xm:sqref>AE66</xm:sqref>
        </x14:conditionalFormatting>
        <x14:conditionalFormatting xmlns:xm="http://schemas.microsoft.com/office/excel/2006/main">
          <x14:cfRule type="expression" priority="13407" id="{240D181E-B548-4DA5-9F36-9CF07150F9E5}">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3408" stopIfTrue="1" id="{AA3F16C3-5B3B-4704-BD3E-422F66E89EB9}">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3409" stopIfTrue="1" id="{3A080ABC-5441-41BF-A0AE-627B24E59653}">
            <xm:f>AND(IF(J67&lt;'F:\Users\norela.briceno\Documents\Plan de acción\Plan Accion 2018\[Plan Accion Integrado ADRES Vigencia 2018 con Cuadro de Mando V6..xlsx]Plan de Accion 2018'!#REF!,J67&lt;&gt;"N/A"))</xm:f>
            <x14:dxf>
              <fill>
                <patternFill>
                  <bgColor indexed="10"/>
                </patternFill>
              </fill>
            </x14:dxf>
          </x14:cfRule>
          <xm:sqref>J67 Q67 AE67 X67</xm:sqref>
        </x14:conditionalFormatting>
        <x14:conditionalFormatting xmlns:xm="http://schemas.microsoft.com/office/excel/2006/main">
          <x14:cfRule type="expression" priority="13404" id="{277C247B-1E05-4EC2-A1B7-4FFADE5A761C}">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3405" stopIfTrue="1" id="{7C352CC0-A63B-4C17-ACBD-3D61A19565AF}">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3406" stopIfTrue="1" id="{80E8C43B-1095-40EB-BEAD-7862DB9E7C4E}">
            <xm:f>AND(IF(J67&lt;'F:\Users\norela.briceno\Documents\Plan de acción\Plan Accion 2018\[Plan Accion Integrado ADRES Vigencia 2018 con Cuadro de Mando V6..xlsx]Plan de Accion 2018'!#REF!,J67&lt;&gt;"N/A"))</xm:f>
            <x14:dxf>
              <fill>
                <patternFill>
                  <bgColor indexed="10"/>
                </patternFill>
              </fill>
            </x14:dxf>
          </x14:cfRule>
          <xm:sqref>J67</xm:sqref>
        </x14:conditionalFormatting>
        <x14:conditionalFormatting xmlns:xm="http://schemas.microsoft.com/office/excel/2006/main">
          <x14:cfRule type="expression" priority="13401" id="{1597A607-26D9-47FA-9946-37A7F2BADE26}">
            <xm:f>AND(IF(Q67&gt;'F:\Users\norela.briceno\Documents\Plan de acción\Plan Accion 2018\[Plan Accion Integrado ADRES Vigencia 2018 con Cuadro de Mando V6..xlsx]Plan de Accion 2018'!#REF!,Q67&lt;&gt;¨N/A¨))</xm:f>
            <x14:dxf>
              <fill>
                <patternFill>
                  <bgColor theme="1" tint="0.499984740745262"/>
                </patternFill>
              </fill>
            </x14:dxf>
          </x14:cfRule>
          <x14:cfRule type="expression" priority="13402" stopIfTrue="1" id="{BE200115-300C-4B98-9021-C5BFFF43EF80}">
            <xm:f>AND(IF(Q67='F:\Users\norela.briceno\Documents\Plan de acción\Plan Accion 2018\[Plan Accion Integrado ADRES Vigencia 2018 con Cuadro de Mando V6..xlsx]Plan de Accion 2018'!#REF!,Q67&lt;&gt;"N/A"))</xm:f>
            <x14:dxf>
              <fill>
                <patternFill>
                  <bgColor rgb="FF00B050"/>
                </patternFill>
              </fill>
            </x14:dxf>
          </x14:cfRule>
          <x14:cfRule type="expression" priority="13403" stopIfTrue="1" id="{172CCCDA-BC7A-4895-84B3-317B61DF4153}">
            <xm:f>AND(IF(Q67&lt;'F:\Users\norela.briceno\Documents\Plan de acción\Plan Accion 2018\[Plan Accion Integrado ADRES Vigencia 2018 con Cuadro de Mando V6..xlsx]Plan de Accion 2018'!#REF!,Q67&lt;&gt;"N/A"))</xm:f>
            <x14:dxf>
              <fill>
                <patternFill>
                  <bgColor indexed="10"/>
                </patternFill>
              </fill>
            </x14:dxf>
          </x14:cfRule>
          <xm:sqref>Q67</xm:sqref>
        </x14:conditionalFormatting>
        <x14:conditionalFormatting xmlns:xm="http://schemas.microsoft.com/office/excel/2006/main">
          <x14:cfRule type="expression" priority="13398" id="{D9FC9253-8758-4209-8004-22DA1682CA49}">
            <xm:f>AND(IF(X67&gt;'F:\Users\norela.briceno\Documents\Plan de acción\Plan Accion 2018\[Plan Accion Integrado ADRES Vigencia 2018 con Cuadro de Mando V6..xlsx]Plan de Accion 2018'!#REF!,X67&lt;&gt;¨N/A¨))</xm:f>
            <x14:dxf>
              <fill>
                <patternFill>
                  <bgColor theme="1" tint="0.499984740745262"/>
                </patternFill>
              </fill>
            </x14:dxf>
          </x14:cfRule>
          <x14:cfRule type="expression" priority="13399" stopIfTrue="1" id="{5E74A8E6-440C-456C-A703-B1A52A3CFC6E}">
            <xm:f>AND(IF(X67='F:\Users\norela.briceno\Documents\Plan de acción\Plan Accion 2018\[Plan Accion Integrado ADRES Vigencia 2018 con Cuadro de Mando V6..xlsx]Plan de Accion 2018'!#REF!,X67&lt;&gt;"N/A"))</xm:f>
            <x14:dxf>
              <fill>
                <patternFill>
                  <bgColor rgb="FF00B050"/>
                </patternFill>
              </fill>
            </x14:dxf>
          </x14:cfRule>
          <x14:cfRule type="expression" priority="13400" stopIfTrue="1" id="{31BEB808-890A-4B85-A684-A51CA4B30B5C}">
            <xm:f>AND(IF(X67&lt;'F:\Users\norela.briceno\Documents\Plan de acción\Plan Accion 2018\[Plan Accion Integrado ADRES Vigencia 2018 con Cuadro de Mando V6..xlsx]Plan de Accion 2018'!#REF!,X67&lt;&gt;"N/A"))</xm:f>
            <x14:dxf>
              <fill>
                <patternFill>
                  <bgColor indexed="10"/>
                </patternFill>
              </fill>
            </x14:dxf>
          </x14:cfRule>
          <xm:sqref>X67</xm:sqref>
        </x14:conditionalFormatting>
        <x14:conditionalFormatting xmlns:xm="http://schemas.microsoft.com/office/excel/2006/main">
          <x14:cfRule type="expression" priority="13395" id="{7730DE9B-16F5-4E57-BA7E-4F453BD9C86F}">
            <xm:f>AND(IF(AE67&gt;'F:\Users\norela.briceno\Documents\Plan de acción\Plan Accion 2018\[Plan Accion Integrado ADRES Vigencia 2018 con Cuadro de Mando V6..xlsx]Plan de Accion 2018'!#REF!,AE67&lt;&gt;¨N/A¨))</xm:f>
            <x14:dxf>
              <fill>
                <patternFill>
                  <bgColor theme="1" tint="0.499984740745262"/>
                </patternFill>
              </fill>
            </x14:dxf>
          </x14:cfRule>
          <x14:cfRule type="expression" priority="13396" stopIfTrue="1" id="{5C7829B8-74FF-48F2-9603-721B730976EE}">
            <xm:f>AND(IF(AE67='F:\Users\norela.briceno\Documents\Plan de acción\Plan Accion 2018\[Plan Accion Integrado ADRES Vigencia 2018 con Cuadro de Mando V6..xlsx]Plan de Accion 2018'!#REF!,AE67&lt;&gt;"N/A"))</xm:f>
            <x14:dxf>
              <fill>
                <patternFill>
                  <bgColor rgb="FF00B050"/>
                </patternFill>
              </fill>
            </x14:dxf>
          </x14:cfRule>
          <x14:cfRule type="expression" priority="13397" stopIfTrue="1" id="{354CF8C9-7338-499D-919A-416C0C19F41C}">
            <xm:f>AND(IF(AE67&lt;'F:\Users\norela.briceno\Documents\Plan de acción\Plan Accion 2018\[Plan Accion Integrado ADRES Vigencia 2018 con Cuadro de Mando V6..xlsx]Plan de Accion 2018'!#REF!,AE67&lt;&gt;"N/A"))</xm:f>
            <x14:dxf>
              <fill>
                <patternFill>
                  <bgColor indexed="10"/>
                </patternFill>
              </fill>
            </x14:dxf>
          </x14:cfRule>
          <xm:sqref>AE67</xm:sqref>
        </x14:conditionalFormatting>
        <x14:conditionalFormatting xmlns:xm="http://schemas.microsoft.com/office/excel/2006/main">
          <x14:cfRule type="expression" priority="13257" id="{AB076C6C-EB09-4A49-A23E-0715DDAFACDF}">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3258" stopIfTrue="1" id="{77DC3356-677E-4D18-A4DF-D2AFC26247DF}">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3259" stopIfTrue="1" id="{B253DC3C-E10D-4065-9222-48720D956640}">
            <xm:f>AND(IF(J84&lt;'F:\Users\norela.briceno\Documents\Plan de acción\Plan Accion 2018\[Plan Accion Integrado ADRES Vigencia 2018 con Cuadro de Mando V6..xlsx]Plan de Accion 2018'!#REF!,J84&lt;&gt;"N/A"))</xm:f>
            <x14:dxf>
              <fill>
                <patternFill>
                  <bgColor indexed="10"/>
                </patternFill>
              </fill>
            </x14:dxf>
          </x14:cfRule>
          <xm:sqref>J84:J88 Q84:Q87 AE84:AE87 X84:X87</xm:sqref>
        </x14:conditionalFormatting>
        <x14:conditionalFormatting xmlns:xm="http://schemas.microsoft.com/office/excel/2006/main">
          <x14:cfRule type="expression" priority="13254" id="{1F1A6CE1-E506-437C-A387-73DD8B40CBFC}">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3255" stopIfTrue="1" id="{F477455F-DD17-4C56-B87D-E9FE1C9C72DD}">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3256" stopIfTrue="1" id="{3B12C471-2773-424E-80C2-4F87BEA02573}">
            <xm:f>AND(IF(J84&lt;'F:\Users\norela.briceno\Documents\Plan de acción\Plan Accion 2018\[Plan Accion Integrado ADRES Vigencia 2018 con Cuadro de Mando V6..xlsx]Plan de Accion 2018'!#REF!,J84&lt;&gt;"N/A"))</xm:f>
            <x14:dxf>
              <fill>
                <patternFill>
                  <bgColor indexed="10"/>
                </patternFill>
              </fill>
            </x14:dxf>
          </x14:cfRule>
          <xm:sqref>J84:J88</xm:sqref>
        </x14:conditionalFormatting>
        <x14:conditionalFormatting xmlns:xm="http://schemas.microsoft.com/office/excel/2006/main">
          <x14:cfRule type="expression" priority="13251" id="{239455FA-039D-4F0E-99F2-A3B5B2E997EC}">
            <xm:f>AND(IF(Q84&gt;'F:\Users\norela.briceno\Documents\Plan de acción\Plan Accion 2018\[Plan Accion Integrado ADRES Vigencia 2018 con Cuadro de Mando V6..xlsx]Plan de Accion 2018'!#REF!,Q84&lt;&gt;¨N/A¨))</xm:f>
            <x14:dxf>
              <fill>
                <patternFill>
                  <bgColor theme="1" tint="0.499984740745262"/>
                </patternFill>
              </fill>
            </x14:dxf>
          </x14:cfRule>
          <x14:cfRule type="expression" priority="13252" stopIfTrue="1" id="{9E176D54-84A3-43C0-BB10-3106C598706F}">
            <xm:f>AND(IF(Q84='F:\Users\norela.briceno\Documents\Plan de acción\Plan Accion 2018\[Plan Accion Integrado ADRES Vigencia 2018 con Cuadro de Mando V6..xlsx]Plan de Accion 2018'!#REF!,Q84&lt;&gt;"N/A"))</xm:f>
            <x14:dxf>
              <fill>
                <patternFill>
                  <bgColor rgb="FF00B050"/>
                </patternFill>
              </fill>
            </x14:dxf>
          </x14:cfRule>
          <x14:cfRule type="expression" priority="13253" stopIfTrue="1" id="{0EE302BE-377C-42D4-8550-100B95B06863}">
            <xm:f>AND(IF(Q84&lt;'F:\Users\norela.briceno\Documents\Plan de acción\Plan Accion 2018\[Plan Accion Integrado ADRES Vigencia 2018 con Cuadro de Mando V6..xlsx]Plan de Accion 2018'!#REF!,Q84&lt;&gt;"N/A"))</xm:f>
            <x14:dxf>
              <fill>
                <patternFill>
                  <bgColor indexed="10"/>
                </patternFill>
              </fill>
            </x14:dxf>
          </x14:cfRule>
          <xm:sqref>Q84:Q87</xm:sqref>
        </x14:conditionalFormatting>
        <x14:conditionalFormatting xmlns:xm="http://schemas.microsoft.com/office/excel/2006/main">
          <x14:cfRule type="expression" priority="13248" id="{A4F74C1A-1931-4374-982F-AA4D90128176}">
            <xm:f>AND(IF(X84&gt;'F:\Users\norela.briceno\Documents\Plan de acción\Plan Accion 2018\[Plan Accion Integrado ADRES Vigencia 2018 con Cuadro de Mando V6..xlsx]Plan de Accion 2018'!#REF!,X84&lt;&gt;¨N/A¨))</xm:f>
            <x14:dxf>
              <fill>
                <patternFill>
                  <bgColor theme="1" tint="0.499984740745262"/>
                </patternFill>
              </fill>
            </x14:dxf>
          </x14:cfRule>
          <x14:cfRule type="expression" priority="13249" stopIfTrue="1" id="{AF947819-8A75-4ED0-BD4D-0CF75295264E}">
            <xm:f>AND(IF(X84='F:\Users\norela.briceno\Documents\Plan de acción\Plan Accion 2018\[Plan Accion Integrado ADRES Vigencia 2018 con Cuadro de Mando V6..xlsx]Plan de Accion 2018'!#REF!,X84&lt;&gt;"N/A"))</xm:f>
            <x14:dxf>
              <fill>
                <patternFill>
                  <bgColor rgb="FF00B050"/>
                </patternFill>
              </fill>
            </x14:dxf>
          </x14:cfRule>
          <x14:cfRule type="expression" priority="13250" stopIfTrue="1" id="{F4378D0D-BCED-452C-93BB-8E35FA42E6E2}">
            <xm:f>AND(IF(X84&lt;'F:\Users\norela.briceno\Documents\Plan de acción\Plan Accion 2018\[Plan Accion Integrado ADRES Vigencia 2018 con Cuadro de Mando V6..xlsx]Plan de Accion 2018'!#REF!,X84&lt;&gt;"N/A"))</xm:f>
            <x14:dxf>
              <fill>
                <patternFill>
                  <bgColor indexed="10"/>
                </patternFill>
              </fill>
            </x14:dxf>
          </x14:cfRule>
          <xm:sqref>X84:X87</xm:sqref>
        </x14:conditionalFormatting>
        <x14:conditionalFormatting xmlns:xm="http://schemas.microsoft.com/office/excel/2006/main">
          <x14:cfRule type="expression" priority="13245" id="{1DAD549B-EDCC-4E1F-9FAF-D8C90C766EDB}">
            <xm:f>AND(IF(AE84&gt;'F:\Users\norela.briceno\Documents\Plan de acción\Plan Accion 2018\[Plan Accion Integrado ADRES Vigencia 2018 con Cuadro de Mando V6..xlsx]Plan de Accion 2018'!#REF!,AE84&lt;&gt;¨N/A¨))</xm:f>
            <x14:dxf>
              <fill>
                <patternFill>
                  <bgColor theme="1" tint="0.499984740745262"/>
                </patternFill>
              </fill>
            </x14:dxf>
          </x14:cfRule>
          <x14:cfRule type="expression" priority="13246" stopIfTrue="1" id="{41433009-701D-402E-9492-9230D30C415F}">
            <xm:f>AND(IF(AE84='F:\Users\norela.briceno\Documents\Plan de acción\Plan Accion 2018\[Plan Accion Integrado ADRES Vigencia 2018 con Cuadro de Mando V6..xlsx]Plan de Accion 2018'!#REF!,AE84&lt;&gt;"N/A"))</xm:f>
            <x14:dxf>
              <fill>
                <patternFill>
                  <bgColor rgb="FF00B050"/>
                </patternFill>
              </fill>
            </x14:dxf>
          </x14:cfRule>
          <x14:cfRule type="expression" priority="13247" stopIfTrue="1" id="{446EA403-6BB1-4F62-887D-E78FEDF297F5}">
            <xm:f>AND(IF(AE84&lt;'F:\Users\norela.briceno\Documents\Plan de acción\Plan Accion 2018\[Plan Accion Integrado ADRES Vigencia 2018 con Cuadro de Mando V6..xlsx]Plan de Accion 2018'!#REF!,AE84&lt;&gt;"N/A"))</xm:f>
            <x14:dxf>
              <fill>
                <patternFill>
                  <bgColor indexed="10"/>
                </patternFill>
              </fill>
            </x14:dxf>
          </x14:cfRule>
          <xm:sqref>AE84:AE87</xm:sqref>
        </x14:conditionalFormatting>
        <x14:conditionalFormatting xmlns:xm="http://schemas.microsoft.com/office/excel/2006/main">
          <x14:cfRule type="expression" priority="13182" id="{4B9ED026-1F1A-41C1-9E9B-67BF45C81410}">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13183" stopIfTrue="1" id="{5F43DDDB-DF00-45EB-819D-FD9CFD68CF3A}">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13184" stopIfTrue="1" id="{8AF9E8F0-43DF-4EA9-B1CF-8186F7389145}">
            <xm:f>AND(IF(J89&lt;'F:\Users\norela.briceno\Documents\Plan de acción\Plan Accion 2018\[Plan Accion Integrado ADRES Vigencia 2018 con Cuadro de Mando V6..xlsx]Plan de Accion 2018'!#REF!,J89&lt;&gt;"N/A"))</xm:f>
            <x14:dxf>
              <fill>
                <patternFill>
                  <bgColor indexed="10"/>
                </patternFill>
              </fill>
            </x14:dxf>
          </x14:cfRule>
          <xm:sqref>J89:J96 Q89:Q91 AE89:AE91 X89:X91 X93:X96 AE93:AE96 Q93:Q96</xm:sqref>
        </x14:conditionalFormatting>
        <x14:conditionalFormatting xmlns:xm="http://schemas.microsoft.com/office/excel/2006/main">
          <x14:cfRule type="expression" priority="13179" id="{1E17324E-FC03-4817-B19A-7A8B5A69C78A}">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13180" stopIfTrue="1" id="{C446C5CB-4364-4530-B3F5-F92052F29C08}">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13181" stopIfTrue="1" id="{CB3C9C92-43BB-4484-B376-F1410BE3FF29}">
            <xm:f>AND(IF(J89&lt;'F:\Users\norela.briceno\Documents\Plan de acción\Plan Accion 2018\[Plan Accion Integrado ADRES Vigencia 2018 con Cuadro de Mando V6..xlsx]Plan de Accion 2018'!#REF!,J89&lt;&gt;"N/A"))</xm:f>
            <x14:dxf>
              <fill>
                <patternFill>
                  <bgColor indexed="10"/>
                </patternFill>
              </fill>
            </x14:dxf>
          </x14:cfRule>
          <xm:sqref>J89:J96</xm:sqref>
        </x14:conditionalFormatting>
        <x14:conditionalFormatting xmlns:xm="http://schemas.microsoft.com/office/excel/2006/main">
          <x14:cfRule type="expression" priority="13176" id="{EF22D614-6381-4FBD-8426-9AB90971CDF0}">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13177" stopIfTrue="1" id="{C265BC57-0612-4E75-ACD8-86236B30E3AB}">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13178" stopIfTrue="1" id="{891B283E-9EDC-4BBC-AE0F-8669302732DE}">
            <xm:f>AND(IF(Q89&lt;'F:\Users\norela.briceno\Documents\Plan de acción\Plan Accion 2018\[Plan Accion Integrado ADRES Vigencia 2018 con Cuadro de Mando V6..xlsx]Plan de Accion 2018'!#REF!,Q89&lt;&gt;"N/A"))</xm:f>
            <x14:dxf>
              <fill>
                <patternFill>
                  <bgColor indexed="10"/>
                </patternFill>
              </fill>
            </x14:dxf>
          </x14:cfRule>
          <xm:sqref>Q89:Q91 Q93:Q96</xm:sqref>
        </x14:conditionalFormatting>
        <x14:conditionalFormatting xmlns:xm="http://schemas.microsoft.com/office/excel/2006/main">
          <x14:cfRule type="expression" priority="13173" id="{75A636CA-7DCE-4EC8-830D-0DF9A0242FCE}">
            <xm:f>AND(IF(X89&gt;'F:\Users\norela.briceno\Documents\Plan de acción\Plan Accion 2018\[Plan Accion Integrado ADRES Vigencia 2018 con Cuadro de Mando V6..xlsx]Plan de Accion 2018'!#REF!,X89&lt;&gt;¨N/A¨))</xm:f>
            <x14:dxf>
              <fill>
                <patternFill>
                  <bgColor theme="1" tint="0.499984740745262"/>
                </patternFill>
              </fill>
            </x14:dxf>
          </x14:cfRule>
          <x14:cfRule type="expression" priority="13174" stopIfTrue="1" id="{D3ED750C-B1FD-4904-829C-B67CF2655DA0}">
            <xm:f>AND(IF(X89='F:\Users\norela.briceno\Documents\Plan de acción\Plan Accion 2018\[Plan Accion Integrado ADRES Vigencia 2018 con Cuadro de Mando V6..xlsx]Plan de Accion 2018'!#REF!,X89&lt;&gt;"N/A"))</xm:f>
            <x14:dxf>
              <fill>
                <patternFill>
                  <bgColor rgb="FF00B050"/>
                </patternFill>
              </fill>
            </x14:dxf>
          </x14:cfRule>
          <x14:cfRule type="expression" priority="13175" stopIfTrue="1" id="{0BF87665-CA1D-424C-94D6-ED7291C96E2C}">
            <xm:f>AND(IF(X89&lt;'F:\Users\norela.briceno\Documents\Plan de acción\Plan Accion 2018\[Plan Accion Integrado ADRES Vigencia 2018 con Cuadro de Mando V6..xlsx]Plan de Accion 2018'!#REF!,X89&lt;&gt;"N/A"))</xm:f>
            <x14:dxf>
              <fill>
                <patternFill>
                  <bgColor indexed="10"/>
                </patternFill>
              </fill>
            </x14:dxf>
          </x14:cfRule>
          <xm:sqref>X89:X91 X93:X96</xm:sqref>
        </x14:conditionalFormatting>
        <x14:conditionalFormatting xmlns:xm="http://schemas.microsoft.com/office/excel/2006/main">
          <x14:cfRule type="expression" priority="13170" id="{37B18A94-A42E-4635-B9C1-1D9DF06DE6BF}">
            <xm:f>AND(IF(AE89&gt;'F:\Users\norela.briceno\Documents\Plan de acción\Plan Accion 2018\[Plan Accion Integrado ADRES Vigencia 2018 con Cuadro de Mando V6..xlsx]Plan de Accion 2018'!#REF!,AE89&lt;&gt;¨N/A¨))</xm:f>
            <x14:dxf>
              <fill>
                <patternFill>
                  <bgColor theme="1" tint="0.499984740745262"/>
                </patternFill>
              </fill>
            </x14:dxf>
          </x14:cfRule>
          <x14:cfRule type="expression" priority="13171" stopIfTrue="1" id="{2CF224C8-E017-4D67-9A5D-4201C95BADDD}">
            <xm:f>AND(IF(AE89='F:\Users\norela.briceno\Documents\Plan de acción\Plan Accion 2018\[Plan Accion Integrado ADRES Vigencia 2018 con Cuadro de Mando V6..xlsx]Plan de Accion 2018'!#REF!,AE89&lt;&gt;"N/A"))</xm:f>
            <x14:dxf>
              <fill>
                <patternFill>
                  <bgColor rgb="FF00B050"/>
                </patternFill>
              </fill>
            </x14:dxf>
          </x14:cfRule>
          <x14:cfRule type="expression" priority="13172" stopIfTrue="1" id="{8B3F7801-A99D-42DA-A52E-A5888E62650C}">
            <xm:f>AND(IF(AE89&lt;'F:\Users\norela.briceno\Documents\Plan de acción\Plan Accion 2018\[Plan Accion Integrado ADRES Vigencia 2018 con Cuadro de Mando V6..xlsx]Plan de Accion 2018'!#REF!,AE89&lt;&gt;"N/A"))</xm:f>
            <x14:dxf>
              <fill>
                <patternFill>
                  <bgColor indexed="10"/>
                </patternFill>
              </fill>
            </x14:dxf>
          </x14:cfRule>
          <xm:sqref>AE89:AE91 AE93:AE96</xm:sqref>
        </x14:conditionalFormatting>
        <x14:conditionalFormatting xmlns:xm="http://schemas.microsoft.com/office/excel/2006/main">
          <x14:cfRule type="expression" priority="13077" id="{53C51005-2A71-437E-81E8-503A9A16D1C6}">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078" stopIfTrue="1" id="{B9A5D313-824E-4E99-AA2F-427D14209561}">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079" stopIfTrue="1" id="{463F36C8-E64A-4D85-B233-A70B91D17A33}">
            <xm:f>AND(IF(J97&lt;'F:\Users\norela.briceno\Documents\Plan de acción\Plan Accion 2018\[Plan Accion Integrado ADRES Vigencia 2018 con Cuadro de Mando V6..xlsx]Plan de Accion 2018'!#REF!,J97&lt;&gt;"N/A"))</xm:f>
            <x14:dxf>
              <fill>
                <patternFill>
                  <bgColor indexed="10"/>
                </patternFill>
              </fill>
            </x14:dxf>
          </x14:cfRule>
          <xm:sqref>J97 Q97 AE97 X97</xm:sqref>
        </x14:conditionalFormatting>
        <x14:conditionalFormatting xmlns:xm="http://schemas.microsoft.com/office/excel/2006/main">
          <x14:cfRule type="expression" priority="13074" id="{F26DE3D4-0C2B-47B3-AFB4-B8BECEF06843}">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075" stopIfTrue="1" id="{3483F931-0387-4F09-B068-F8529A1E66E4}">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076" stopIfTrue="1" id="{589BCABB-68CB-4C3D-B5EF-5C9FC02BE327}">
            <xm:f>AND(IF(J97&lt;'F:\Users\norela.briceno\Documents\Plan de acción\Plan Accion 2018\[Plan Accion Integrado ADRES Vigencia 2018 con Cuadro de Mando V6..xlsx]Plan de Accion 2018'!#REF!,J97&lt;&gt;"N/A"))</xm:f>
            <x14:dxf>
              <fill>
                <patternFill>
                  <bgColor indexed="10"/>
                </patternFill>
              </fill>
            </x14:dxf>
          </x14:cfRule>
          <xm:sqref>J97</xm:sqref>
        </x14:conditionalFormatting>
        <x14:conditionalFormatting xmlns:xm="http://schemas.microsoft.com/office/excel/2006/main">
          <x14:cfRule type="expression" priority="13071" id="{065F16C1-E4FB-46DC-B2EE-14E1C551A968}">
            <xm:f>AND(IF(Q97&gt;'F:\Users\norela.briceno\Documents\Plan de acción\Plan Accion 2018\[Plan Accion Integrado ADRES Vigencia 2018 con Cuadro de Mando V6..xlsx]Plan de Accion 2018'!#REF!,Q97&lt;&gt;¨N/A¨))</xm:f>
            <x14:dxf>
              <fill>
                <patternFill>
                  <bgColor theme="1" tint="0.499984740745262"/>
                </patternFill>
              </fill>
            </x14:dxf>
          </x14:cfRule>
          <x14:cfRule type="expression" priority="13072" stopIfTrue="1" id="{7AD4A33F-130A-454F-83CA-E50DC8AFBDB5}">
            <xm:f>AND(IF(Q97='F:\Users\norela.briceno\Documents\Plan de acción\Plan Accion 2018\[Plan Accion Integrado ADRES Vigencia 2018 con Cuadro de Mando V6..xlsx]Plan de Accion 2018'!#REF!,Q97&lt;&gt;"N/A"))</xm:f>
            <x14:dxf>
              <fill>
                <patternFill>
                  <bgColor rgb="FF00B050"/>
                </patternFill>
              </fill>
            </x14:dxf>
          </x14:cfRule>
          <x14:cfRule type="expression" priority="13073" stopIfTrue="1" id="{9378AD81-E052-4DE5-B6A7-211AA5B84A73}">
            <xm:f>AND(IF(Q97&lt;'F:\Users\norela.briceno\Documents\Plan de acción\Plan Accion 2018\[Plan Accion Integrado ADRES Vigencia 2018 con Cuadro de Mando V6..xlsx]Plan de Accion 2018'!#REF!,Q97&lt;&gt;"N/A"))</xm:f>
            <x14:dxf>
              <fill>
                <patternFill>
                  <bgColor indexed="10"/>
                </patternFill>
              </fill>
            </x14:dxf>
          </x14:cfRule>
          <xm:sqref>Q97</xm:sqref>
        </x14:conditionalFormatting>
        <x14:conditionalFormatting xmlns:xm="http://schemas.microsoft.com/office/excel/2006/main">
          <x14:cfRule type="expression" priority="13068" id="{09D9FF6C-6B19-4716-B16B-088BD385C9A0}">
            <xm:f>AND(IF(X97&gt;'F:\Users\norela.briceno\Documents\Plan de acción\Plan Accion 2018\[Plan Accion Integrado ADRES Vigencia 2018 con Cuadro de Mando V6..xlsx]Plan de Accion 2018'!#REF!,X97&lt;&gt;¨N/A¨))</xm:f>
            <x14:dxf>
              <fill>
                <patternFill>
                  <bgColor theme="1" tint="0.499984740745262"/>
                </patternFill>
              </fill>
            </x14:dxf>
          </x14:cfRule>
          <x14:cfRule type="expression" priority="13069" stopIfTrue="1" id="{5B825C0A-EAC1-4308-8266-9970125A5BE2}">
            <xm:f>AND(IF(X97='F:\Users\norela.briceno\Documents\Plan de acción\Plan Accion 2018\[Plan Accion Integrado ADRES Vigencia 2018 con Cuadro de Mando V6..xlsx]Plan de Accion 2018'!#REF!,X97&lt;&gt;"N/A"))</xm:f>
            <x14:dxf>
              <fill>
                <patternFill>
                  <bgColor rgb="FF00B050"/>
                </patternFill>
              </fill>
            </x14:dxf>
          </x14:cfRule>
          <x14:cfRule type="expression" priority="13070" stopIfTrue="1" id="{AC9FE457-6058-4659-8427-959FC8F304AA}">
            <xm:f>AND(IF(X97&lt;'F:\Users\norela.briceno\Documents\Plan de acción\Plan Accion 2018\[Plan Accion Integrado ADRES Vigencia 2018 con Cuadro de Mando V6..xlsx]Plan de Accion 2018'!#REF!,X97&lt;&gt;"N/A"))</xm:f>
            <x14:dxf>
              <fill>
                <patternFill>
                  <bgColor indexed="10"/>
                </patternFill>
              </fill>
            </x14:dxf>
          </x14:cfRule>
          <xm:sqref>X97</xm:sqref>
        </x14:conditionalFormatting>
        <x14:conditionalFormatting xmlns:xm="http://schemas.microsoft.com/office/excel/2006/main">
          <x14:cfRule type="expression" priority="13065" id="{F0EB1602-8F1A-4FCD-B7F0-12D211BF4DFD}">
            <xm:f>AND(IF(AE97&gt;'F:\Users\norela.briceno\Documents\Plan de acción\Plan Accion 2018\[Plan Accion Integrado ADRES Vigencia 2018 con Cuadro de Mando V6..xlsx]Plan de Accion 2018'!#REF!,AE97&lt;&gt;¨N/A¨))</xm:f>
            <x14:dxf>
              <fill>
                <patternFill>
                  <bgColor theme="1" tint="0.499984740745262"/>
                </patternFill>
              </fill>
            </x14:dxf>
          </x14:cfRule>
          <x14:cfRule type="expression" priority="13066" stopIfTrue="1" id="{E3AA2E07-27E8-4FB5-9521-3FE7CDF17403}">
            <xm:f>AND(IF(AE97='F:\Users\norela.briceno\Documents\Plan de acción\Plan Accion 2018\[Plan Accion Integrado ADRES Vigencia 2018 con Cuadro de Mando V6..xlsx]Plan de Accion 2018'!#REF!,AE97&lt;&gt;"N/A"))</xm:f>
            <x14:dxf>
              <fill>
                <patternFill>
                  <bgColor rgb="FF00B050"/>
                </patternFill>
              </fill>
            </x14:dxf>
          </x14:cfRule>
          <x14:cfRule type="expression" priority="13067" stopIfTrue="1" id="{262A5DDF-4685-47D8-AC11-DD86CDF7B07F}">
            <xm:f>AND(IF(AE97&lt;'F:\Users\norela.briceno\Documents\Plan de acción\Plan Accion 2018\[Plan Accion Integrado ADRES Vigencia 2018 con Cuadro de Mando V6..xlsx]Plan de Accion 2018'!#REF!,AE97&lt;&gt;"N/A"))</xm:f>
            <x14:dxf>
              <fill>
                <patternFill>
                  <bgColor indexed="10"/>
                </patternFill>
              </fill>
            </x14:dxf>
          </x14:cfRule>
          <xm:sqref>AE97</xm:sqref>
        </x14:conditionalFormatting>
        <x14:conditionalFormatting xmlns:xm="http://schemas.microsoft.com/office/excel/2006/main">
          <x14:cfRule type="expression" priority="13002" id="{DDA5985C-B503-427C-B961-AA897B874158}">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3003" stopIfTrue="1" id="{97DEACE8-306D-44D2-874C-91D185469876}">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3004" stopIfTrue="1" id="{8966E3D8-383E-4E38-8A66-A9E750A01A12}">
            <xm:f>AND(IF(Q117&lt;'F:\Users\norela.briceno\Documents\Plan de acción\Plan Accion 2018\[Plan Accion Integrado ADRES Vigencia 2018 con Cuadro de Mando V6..xlsx]Plan de Accion 2018'!#REF!,Q117&lt;&gt;"N/A"))</xm:f>
            <x14:dxf>
              <fill>
                <patternFill>
                  <bgColor indexed="10"/>
                </patternFill>
              </fill>
            </x14:dxf>
          </x14:cfRule>
          <xm:sqref>X117:X118 AE117:AE118 Q117:Q118</xm:sqref>
        </x14:conditionalFormatting>
        <x14:conditionalFormatting xmlns:xm="http://schemas.microsoft.com/office/excel/2006/main">
          <x14:cfRule type="expression" priority="12996" id="{96E84A85-A8D1-4ADF-918E-E441211359CB}">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2997" stopIfTrue="1" id="{7F5945B6-C3B8-42BE-BA80-0639CF3782D2}">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2998" stopIfTrue="1" id="{B4E8FE5C-EBB5-46F9-B585-68C7606389B1}">
            <xm:f>AND(IF(Q117&lt;'F:\Users\norela.briceno\Documents\Plan de acción\Plan Accion 2018\[Plan Accion Integrado ADRES Vigencia 2018 con Cuadro de Mando V6..xlsx]Plan de Accion 2018'!#REF!,Q117&lt;&gt;"N/A"))</xm:f>
            <x14:dxf>
              <fill>
                <patternFill>
                  <bgColor indexed="10"/>
                </patternFill>
              </fill>
            </x14:dxf>
          </x14:cfRule>
          <xm:sqref>Q117:Q118</xm:sqref>
        </x14:conditionalFormatting>
        <x14:conditionalFormatting xmlns:xm="http://schemas.microsoft.com/office/excel/2006/main">
          <x14:cfRule type="expression" priority="12993" id="{E63EC1C9-7EBD-455E-9DF6-F11742D28D7A}">
            <xm:f>AND(IF(X117&gt;'F:\Users\norela.briceno\Documents\Plan de acción\Plan Accion 2018\[Plan Accion Integrado ADRES Vigencia 2018 con Cuadro de Mando V6..xlsx]Plan de Accion 2018'!#REF!,X117&lt;&gt;¨N/A¨))</xm:f>
            <x14:dxf>
              <fill>
                <patternFill>
                  <bgColor theme="1" tint="0.499984740745262"/>
                </patternFill>
              </fill>
            </x14:dxf>
          </x14:cfRule>
          <x14:cfRule type="expression" priority="12994" stopIfTrue="1" id="{4B907935-CDEF-4703-96A5-D20F4EB6A06F}">
            <xm:f>AND(IF(X117='F:\Users\norela.briceno\Documents\Plan de acción\Plan Accion 2018\[Plan Accion Integrado ADRES Vigencia 2018 con Cuadro de Mando V6..xlsx]Plan de Accion 2018'!#REF!,X117&lt;&gt;"N/A"))</xm:f>
            <x14:dxf>
              <fill>
                <patternFill>
                  <bgColor rgb="FF00B050"/>
                </patternFill>
              </fill>
            </x14:dxf>
          </x14:cfRule>
          <x14:cfRule type="expression" priority="12995" stopIfTrue="1" id="{32AA0DD3-9195-49E4-B4F7-9F4425802FB1}">
            <xm:f>AND(IF(X117&lt;'F:\Users\norela.briceno\Documents\Plan de acción\Plan Accion 2018\[Plan Accion Integrado ADRES Vigencia 2018 con Cuadro de Mando V6..xlsx]Plan de Accion 2018'!#REF!,X117&lt;&gt;"N/A"))</xm:f>
            <x14:dxf>
              <fill>
                <patternFill>
                  <bgColor indexed="10"/>
                </patternFill>
              </fill>
            </x14:dxf>
          </x14:cfRule>
          <xm:sqref>X117:X118</xm:sqref>
        </x14:conditionalFormatting>
        <x14:conditionalFormatting xmlns:xm="http://schemas.microsoft.com/office/excel/2006/main">
          <x14:cfRule type="expression" priority="12990" id="{95AC7BE9-8445-4724-9A2B-1DD720A3828E}">
            <xm:f>AND(IF(AE117&gt;'F:\Users\norela.briceno\Documents\Plan de acción\Plan Accion 2018\[Plan Accion Integrado ADRES Vigencia 2018 con Cuadro de Mando V6..xlsx]Plan de Accion 2018'!#REF!,AE117&lt;&gt;¨N/A¨))</xm:f>
            <x14:dxf>
              <fill>
                <patternFill>
                  <bgColor theme="1" tint="0.499984740745262"/>
                </patternFill>
              </fill>
            </x14:dxf>
          </x14:cfRule>
          <x14:cfRule type="expression" priority="12991" stopIfTrue="1" id="{C8B2E0D7-5A7C-405B-BCB5-9C154BA2197D}">
            <xm:f>AND(IF(AE117='F:\Users\norela.briceno\Documents\Plan de acción\Plan Accion 2018\[Plan Accion Integrado ADRES Vigencia 2018 con Cuadro de Mando V6..xlsx]Plan de Accion 2018'!#REF!,AE117&lt;&gt;"N/A"))</xm:f>
            <x14:dxf>
              <fill>
                <patternFill>
                  <bgColor rgb="FF00B050"/>
                </patternFill>
              </fill>
            </x14:dxf>
          </x14:cfRule>
          <x14:cfRule type="expression" priority="12992" stopIfTrue="1" id="{B54586AB-D094-44AF-9C60-5EAE48D719C6}">
            <xm:f>AND(IF(AE117&lt;'F:\Users\norela.briceno\Documents\Plan de acción\Plan Accion 2018\[Plan Accion Integrado ADRES Vigencia 2018 con Cuadro de Mando V6..xlsx]Plan de Accion 2018'!#REF!,AE117&lt;&gt;"N/A"))</xm:f>
            <x14:dxf>
              <fill>
                <patternFill>
                  <bgColor indexed="10"/>
                </patternFill>
              </fill>
            </x14:dxf>
          </x14:cfRule>
          <xm:sqref>AE117:AE118</xm:sqref>
        </x14:conditionalFormatting>
        <x14:conditionalFormatting xmlns:xm="http://schemas.microsoft.com/office/excel/2006/main">
          <x14:cfRule type="expression" priority="12837" id="{B70428B5-5412-455C-9D66-B4C9D3E9961D}">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2838" stopIfTrue="1" id="{1FC856C5-F5CD-4366-8821-109D5E65BAD3}">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2839" stopIfTrue="1" id="{E33EF621-2250-44A9-AC0A-CF5B67DD60F2}">
            <xm:f>AND(IF(J121&lt;'F:\Users\norela.briceno\Documents\Plan de acción\Plan Accion 2018\[Plan Accion Integrado ADRES Vigencia 2018 con Cuadro de Mando V6..xlsx]Plan de Accion 2018'!#REF!,J121&lt;&gt;"N/A"))</xm:f>
            <x14:dxf>
              <fill>
                <patternFill>
                  <bgColor indexed="10"/>
                </patternFill>
              </fill>
            </x14:dxf>
          </x14:cfRule>
          <xm:sqref>J121 Q121 AE121 X121</xm:sqref>
        </x14:conditionalFormatting>
        <x14:conditionalFormatting xmlns:xm="http://schemas.microsoft.com/office/excel/2006/main">
          <x14:cfRule type="expression" priority="12834" id="{9FA15440-489A-4610-B242-8DE0375AD69E}">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2835" stopIfTrue="1" id="{C7A0E5E3-0621-4CDB-AADD-D0228A3F969A}">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2836" stopIfTrue="1" id="{5B86F360-1BF4-4FAA-9698-C81DDEF4C15F}">
            <xm:f>AND(IF(J121&lt;'F:\Users\norela.briceno\Documents\Plan de acción\Plan Accion 2018\[Plan Accion Integrado ADRES Vigencia 2018 con Cuadro de Mando V6..xlsx]Plan de Accion 2018'!#REF!,J121&lt;&gt;"N/A"))</xm:f>
            <x14:dxf>
              <fill>
                <patternFill>
                  <bgColor indexed="10"/>
                </patternFill>
              </fill>
            </x14:dxf>
          </x14:cfRule>
          <xm:sqref>J121</xm:sqref>
        </x14:conditionalFormatting>
        <x14:conditionalFormatting xmlns:xm="http://schemas.microsoft.com/office/excel/2006/main">
          <x14:cfRule type="expression" priority="12831" id="{7FA396A9-F100-4837-8924-0EA54B254102}">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12832" stopIfTrue="1" id="{0D672DFE-7690-4AC7-B6D0-C723F97F3F52}">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12833" stopIfTrue="1" id="{73B969CE-1FC6-4820-872E-51C2675505B9}">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12828" id="{3FABB6D4-F9C4-4C12-B5F8-B00757E81F9A}">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12829" stopIfTrue="1" id="{ED4046BE-BAFC-43ED-BA2B-F3712F891437}">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12830" stopIfTrue="1" id="{19D164A0-664B-4343-AFFC-DD43F8C33E42}">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12825" id="{A6956164-8236-4A5F-9370-9A9B56D2E9A9}">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12826" stopIfTrue="1" id="{57EBD2A6-B35D-4E40-B313-296AE186F933}">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12827" stopIfTrue="1" id="{DA7B5A03-5D1B-4724-8EE2-19938A68C89B}">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12752" id="{7297B0F6-BE73-4CCC-A042-D26EA8CFE6D2}">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2753" stopIfTrue="1" id="{EFAD7420-55B7-43A2-A1DB-4B76B8D762B5}">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2754" stopIfTrue="1" id="{BE390E43-647D-4F7E-918E-E9E53B34E0A7}">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12749" id="{205C9F47-AA63-4495-A188-F9F82D1E0CA5}">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2750" stopIfTrue="1" id="{EE349937-4810-4765-A4B7-BCC187867CE2}">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2751" stopIfTrue="1" id="{CC062B61-6CF7-48DD-B327-167048940045}">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12746" id="{D3DBD128-39AB-43BA-9DD1-45F01CE378B2}">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12747" stopIfTrue="1" id="{67E87854-CA43-48A9-B6B4-E0307AA88FBB}">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12748" stopIfTrue="1" id="{09C36372-661A-492B-BC33-54EE731C8066}">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12743" id="{44077BD7-1FDC-4B1F-8E7D-826B7DD64937}">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12744" stopIfTrue="1" id="{392DB548-6FB3-4FEA-9CD5-0770C1131164}">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12745" stopIfTrue="1" id="{E2FDE6B0-E42B-4375-9DFC-5370991E9EFF}">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12740" id="{B9FE1234-3181-4216-933F-D0062C2974B0}">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12741" stopIfTrue="1" id="{469A97B9-2512-4CDC-8056-AA297032EB44}">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12742" stopIfTrue="1" id="{FAE651FF-2EEB-4363-82A9-F689BFF982DE}">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12657" id="{7926FE22-2995-4E51-B818-A25C7D0AF7B6}">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2658" stopIfTrue="1" id="{35E70380-2D43-446A-ACD5-F8B68008283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2659" stopIfTrue="1" id="{B2387472-0577-48EC-8832-A3D0EAD0D0F6}">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12654" id="{4228F7E5-3DE9-43BD-9BFE-997DF0B6FB8A}">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2655" stopIfTrue="1" id="{2CB281CD-6724-4A85-9848-DD5AFB42056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2656" stopIfTrue="1" id="{70D39E03-FFB9-45E7-96F8-AFC091CBAF82}">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12651" id="{AD495438-792F-4E30-936E-81E6A8FA5777}">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12652" stopIfTrue="1" id="{A16BD7B5-7B44-4268-A65B-BD3DB47752BE}">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12653" stopIfTrue="1" id="{AD498195-6575-4CF8-B94F-E9B102E30D3C}">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12648" id="{B090EC68-3CE7-43B6-A0D3-0DB636FA4EE6}">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12649" stopIfTrue="1" id="{6F7A52DC-0353-46A0-B336-21A1A7055D31}">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12650" stopIfTrue="1" id="{AA9C5935-C2B2-4C22-85F3-5F798A542C54}">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12645" id="{1BD48536-521E-4113-AD73-1A293762BEB8}">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12646" stopIfTrue="1" id="{59A3A163-377B-428D-A5AB-85C12F7B3C54}">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12647" stopIfTrue="1" id="{6A5D46F7-B0B2-47C9-91C6-215320CA0F3B}">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12216" id="{86CE8B8A-777E-4C5C-85FC-4F5199AA7190}">
            <xm:f>AND(IF(Q265&gt;'F:\Users\norela.briceno\Documents\Plan de acción\Plan Accion 2018\[Plan Accion Integrado ADRES Vigencia 2018 con Cuadro de Mando V6..xlsx]Plan de Accion 2018'!#REF!,Q265&lt;&gt;¨N/A¨))</xm:f>
            <x14:dxf>
              <fill>
                <patternFill>
                  <bgColor theme="1" tint="0.499984740745262"/>
                </patternFill>
              </fill>
            </x14:dxf>
          </x14:cfRule>
          <x14:cfRule type="expression" priority="12217" stopIfTrue="1" id="{6C326B98-F85A-4692-A70B-ECE703E760BE}">
            <xm:f>AND(IF(Q265='F:\Users\norela.briceno\Documents\Plan de acción\Plan Accion 2018\[Plan Accion Integrado ADRES Vigencia 2018 con Cuadro de Mando V6..xlsx]Plan de Accion 2018'!#REF!,Q265&lt;&gt;"N/A"))</xm:f>
            <x14:dxf>
              <fill>
                <patternFill>
                  <bgColor rgb="FF00B050"/>
                </patternFill>
              </fill>
            </x14:dxf>
          </x14:cfRule>
          <x14:cfRule type="expression" priority="12218" stopIfTrue="1" id="{75FF7377-4C52-4720-BEA2-2478E701E33A}">
            <xm:f>AND(IF(Q265&lt;'F:\Users\norela.briceno\Documents\Plan de acción\Plan Accion 2018\[Plan Accion Integrado ADRES Vigencia 2018 con Cuadro de Mando V6..xlsx]Plan de Accion 2018'!#REF!,Q265&lt;&gt;"N/A"))</xm:f>
            <x14:dxf>
              <fill>
                <patternFill>
                  <bgColor indexed="10"/>
                </patternFill>
              </fill>
            </x14:dxf>
          </x14:cfRule>
          <xm:sqref>Q265 X265 AE265</xm:sqref>
        </x14:conditionalFormatting>
        <x14:conditionalFormatting xmlns:xm="http://schemas.microsoft.com/office/excel/2006/main">
          <x14:cfRule type="expression" priority="12100" id="{B498F48D-668B-4604-89A3-5535E257CE22}">
            <xm:f>AND(IF(J308&gt;'F:\Users\norela.briceno\Documents\Plan de acción\Plan Accion 2018\[Plan Accion Integrado ADRES Vigencia 2018 con Cuadro de Mando V6..xlsx]Plan de Accion 2018'!#REF!,J308&lt;&gt;¨N/A¨))</xm:f>
            <x14:dxf>
              <fill>
                <patternFill>
                  <bgColor theme="1" tint="0.499984740745262"/>
                </patternFill>
              </fill>
            </x14:dxf>
          </x14:cfRule>
          <x14:cfRule type="expression" priority="12101" stopIfTrue="1" id="{A52FD756-8E80-47BC-8DF5-477E92BDA10F}">
            <xm:f>AND(IF(J308='F:\Users\norela.briceno\Documents\Plan de acción\Plan Accion 2018\[Plan Accion Integrado ADRES Vigencia 2018 con Cuadro de Mando V6..xlsx]Plan de Accion 2018'!#REF!,J308&lt;&gt;"N/A"))</xm:f>
            <x14:dxf>
              <fill>
                <patternFill>
                  <bgColor rgb="FF00B050"/>
                </patternFill>
              </fill>
            </x14:dxf>
          </x14:cfRule>
          <x14:cfRule type="expression" priority="12102" stopIfTrue="1" id="{BD89FB49-3FF4-4CE9-B84B-A8A69E5253CC}">
            <xm:f>AND(IF(J308&lt;'F:\Users\norela.briceno\Documents\Plan de acción\Plan Accion 2018\[Plan Accion Integrado ADRES Vigencia 2018 con Cuadro de Mando V6..xlsx]Plan de Accion 2018'!#REF!,J308&lt;&gt;"N/A"))</xm:f>
            <x14:dxf>
              <fill>
                <patternFill>
                  <bgColor indexed="10"/>
                </patternFill>
              </fill>
            </x14:dxf>
          </x14:cfRule>
          <xm:sqref>J308</xm:sqref>
        </x14:conditionalFormatting>
        <x14:conditionalFormatting xmlns:xm="http://schemas.microsoft.com/office/excel/2006/main">
          <x14:cfRule type="expression" priority="12097" id="{12738314-8AF3-4D43-8A85-62FE81996449}">
            <xm:f>AND(IF(Q308&gt;'F:\Users\norela.briceno\Documents\Plan de acción\Plan Accion 2018\[Plan Accion Integrado ADRES Vigencia 2018 con Cuadro de Mando V6..xlsx]Plan de Accion 2018'!#REF!,Q308&lt;&gt;¨N/A¨))</xm:f>
            <x14:dxf>
              <fill>
                <patternFill>
                  <bgColor theme="1" tint="0.499984740745262"/>
                </patternFill>
              </fill>
            </x14:dxf>
          </x14:cfRule>
          <x14:cfRule type="expression" priority="12098" stopIfTrue="1" id="{330F60C8-FAC7-432D-B7E0-B23DA96894F6}">
            <xm:f>AND(IF(Q308='F:\Users\norela.briceno\Documents\Plan de acción\Plan Accion 2018\[Plan Accion Integrado ADRES Vigencia 2018 con Cuadro de Mando V6..xlsx]Plan de Accion 2018'!#REF!,Q308&lt;&gt;"N/A"))</xm:f>
            <x14:dxf>
              <fill>
                <patternFill>
                  <bgColor rgb="FF00B050"/>
                </patternFill>
              </fill>
            </x14:dxf>
          </x14:cfRule>
          <x14:cfRule type="expression" priority="12099" stopIfTrue="1" id="{02EF9788-F58F-49B5-9653-0F98EF9839D3}">
            <xm:f>AND(IF(Q308&lt;'F:\Users\norela.briceno\Documents\Plan de acción\Plan Accion 2018\[Plan Accion Integrado ADRES Vigencia 2018 con Cuadro de Mando V6..xlsx]Plan de Accion 2018'!#REF!,Q308&lt;&gt;"N/A"))</xm:f>
            <x14:dxf>
              <fill>
                <patternFill>
                  <bgColor indexed="10"/>
                </patternFill>
              </fill>
            </x14:dxf>
          </x14:cfRule>
          <xm:sqref>Q308</xm:sqref>
        </x14:conditionalFormatting>
        <x14:conditionalFormatting xmlns:xm="http://schemas.microsoft.com/office/excel/2006/main">
          <x14:cfRule type="expression" priority="12094" id="{4073E6DA-67EE-4EA3-97CD-6DEC2BBB7BA9}">
            <xm:f>AND(IF(X308&gt;'F:\Users\norela.briceno\Documents\Plan de acción\Plan Accion 2018\[Plan Accion Integrado ADRES Vigencia 2018 con Cuadro de Mando V6..xlsx]Plan de Accion 2018'!#REF!,X308&lt;&gt;¨N/A¨))</xm:f>
            <x14:dxf>
              <fill>
                <patternFill>
                  <bgColor theme="1" tint="0.499984740745262"/>
                </patternFill>
              </fill>
            </x14:dxf>
          </x14:cfRule>
          <x14:cfRule type="expression" priority="12095" stopIfTrue="1" id="{D53CA729-7D72-4521-9852-7BEBF671A1E4}">
            <xm:f>AND(IF(X308='F:\Users\norela.briceno\Documents\Plan de acción\Plan Accion 2018\[Plan Accion Integrado ADRES Vigencia 2018 con Cuadro de Mando V6..xlsx]Plan de Accion 2018'!#REF!,X308&lt;&gt;"N/A"))</xm:f>
            <x14:dxf>
              <fill>
                <patternFill>
                  <bgColor rgb="FF00B050"/>
                </patternFill>
              </fill>
            </x14:dxf>
          </x14:cfRule>
          <x14:cfRule type="expression" priority="12096" stopIfTrue="1" id="{196DAB96-28AF-4C68-8462-A15001A86183}">
            <xm:f>AND(IF(X308&lt;'F:\Users\norela.briceno\Documents\Plan de acción\Plan Accion 2018\[Plan Accion Integrado ADRES Vigencia 2018 con Cuadro de Mando V6..xlsx]Plan de Accion 2018'!#REF!,X308&lt;&gt;"N/A"))</xm:f>
            <x14:dxf>
              <fill>
                <patternFill>
                  <bgColor indexed="10"/>
                </patternFill>
              </fill>
            </x14:dxf>
          </x14:cfRule>
          <xm:sqref>X308</xm:sqref>
        </x14:conditionalFormatting>
        <x14:conditionalFormatting xmlns:xm="http://schemas.microsoft.com/office/excel/2006/main">
          <x14:cfRule type="expression" priority="12091" id="{E3BC53D6-1C11-4304-B0C5-0666D0B2EA7F}">
            <xm:f>AND(IF(AE308&gt;'F:\Users\norela.briceno\Documents\Plan de acción\Plan Accion 2018\[Plan Accion Integrado ADRES Vigencia 2018 con Cuadro de Mando V6..xlsx]Plan de Accion 2018'!#REF!,AE308&lt;&gt;¨N/A¨))</xm:f>
            <x14:dxf>
              <fill>
                <patternFill>
                  <bgColor theme="1" tint="0.499984740745262"/>
                </patternFill>
              </fill>
            </x14:dxf>
          </x14:cfRule>
          <x14:cfRule type="expression" priority="12092" stopIfTrue="1" id="{5D72DDAB-F038-45E0-8125-8DD4E48506E5}">
            <xm:f>AND(IF(AE308='F:\Users\norela.briceno\Documents\Plan de acción\Plan Accion 2018\[Plan Accion Integrado ADRES Vigencia 2018 con Cuadro de Mando V6..xlsx]Plan de Accion 2018'!#REF!,AE308&lt;&gt;"N/A"))</xm:f>
            <x14:dxf>
              <fill>
                <patternFill>
                  <bgColor rgb="FF00B050"/>
                </patternFill>
              </fill>
            </x14:dxf>
          </x14:cfRule>
          <x14:cfRule type="expression" priority="12093" stopIfTrue="1" id="{9A7B0834-7225-4E81-A2B3-74A0446FEA1A}">
            <xm:f>AND(IF(AE308&lt;'F:\Users\norela.briceno\Documents\Plan de acción\Plan Accion 2018\[Plan Accion Integrado ADRES Vigencia 2018 con Cuadro de Mando V6..xlsx]Plan de Accion 2018'!#REF!,AE308&lt;&gt;"N/A"))</xm:f>
            <x14:dxf>
              <fill>
                <patternFill>
                  <bgColor indexed="10"/>
                </patternFill>
              </fill>
            </x14:dxf>
          </x14:cfRule>
          <xm:sqref>AE308</xm:sqref>
        </x14:conditionalFormatting>
        <x14:conditionalFormatting xmlns:xm="http://schemas.microsoft.com/office/excel/2006/main">
          <x14:cfRule type="expression" priority="11140" id="{BB1DEA91-DB21-48BB-971A-F3CD09F84B28}">
            <xm:f>AND(IF(J179&gt;'F:\Users\norela.briceno\Documents\Plan de acción\Plan Accion 2018\[Plan Accion Integrado ADRES Vigencia 2018 con Cuadro de Mando V6..xlsx]Plan de Accion 2018'!#REF!,J179&lt;&gt;¨N/A¨))</xm:f>
            <x14:dxf>
              <fill>
                <patternFill>
                  <bgColor theme="1" tint="0.499984740745262"/>
                </patternFill>
              </fill>
            </x14:dxf>
          </x14:cfRule>
          <x14:cfRule type="expression" priority="11141" stopIfTrue="1" id="{DD27D550-F108-4195-9B2E-715209D249A2}">
            <xm:f>AND(IF(J179='F:\Users\norela.briceno\Documents\Plan de acción\Plan Accion 2018\[Plan Accion Integrado ADRES Vigencia 2018 con Cuadro de Mando V6..xlsx]Plan de Accion 2018'!#REF!,J179&lt;&gt;"N/A"))</xm:f>
            <x14:dxf>
              <fill>
                <patternFill>
                  <bgColor rgb="FF00B050"/>
                </patternFill>
              </fill>
            </x14:dxf>
          </x14:cfRule>
          <x14:cfRule type="expression" priority="11142" stopIfTrue="1" id="{359BA309-402F-47FE-8633-9BEDD44E7F35}">
            <xm:f>AND(IF(J179&lt;'F:\Users\norela.briceno\Documents\Plan de acción\Plan Accion 2018\[Plan Accion Integrado ADRES Vigencia 2018 con Cuadro de Mando V6..xlsx]Plan de Accion 2018'!#REF!,J179&lt;&gt;"N/A"))</xm:f>
            <x14:dxf>
              <fill>
                <patternFill>
                  <bgColor indexed="10"/>
                </patternFill>
              </fill>
            </x14:dxf>
          </x14:cfRule>
          <xm:sqref>J179 Q179 X179 AE179</xm:sqref>
        </x14:conditionalFormatting>
        <x14:conditionalFormatting xmlns:xm="http://schemas.microsoft.com/office/excel/2006/main">
          <x14:cfRule type="expression" priority="11082" id="{2FBA290D-C523-4432-A71B-87A0E866E5E3}">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11083" stopIfTrue="1" id="{5C9CB2C4-BC7D-4DB3-A111-0B0D264C4DB2}">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11084" stopIfTrue="1" id="{4295D51C-4057-42B7-8759-A44E26E2B48B}">
            <xm:f>AND(IF(J182&lt;'F:\Users\norela.briceno\Documents\Plan de acción\Plan Accion 2018\[Plan Accion Integrado ADRES Vigencia 2018 con Cuadro de Mando V6..xlsx]Plan de Accion 2018'!#REF!,J182&lt;&gt;"N/A"))</xm:f>
            <x14:dxf>
              <fill>
                <patternFill>
                  <bgColor indexed="10"/>
                </patternFill>
              </fill>
            </x14:dxf>
          </x14:cfRule>
          <xm:sqref>J182 Q182 X182 AE182</xm:sqref>
        </x14:conditionalFormatting>
        <x14:conditionalFormatting xmlns:xm="http://schemas.microsoft.com/office/excel/2006/main">
          <x14:cfRule type="expression" priority="10979" id="{9633AC76-3A1F-4227-A6BD-A41A6D17BD9E}">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10980" stopIfTrue="1" id="{DC66EB59-7474-4889-B198-D5B72C6485D1}">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10981" stopIfTrue="1" id="{5BBA468C-7ABE-4F2B-AC1D-ECC735FFAADF}">
            <xm:f>AND(IF(J183&lt;'F:\Users\norela.briceno\Documents\Plan de acción\Plan Accion 2018\[Plan Accion Integrado ADRES Vigencia 2018 con Cuadro de Mando V6..xlsx]Plan de Accion 2018'!#REF!,J183&lt;&gt;"N/A"))</xm:f>
            <x14:dxf>
              <fill>
                <patternFill>
                  <bgColor indexed="10"/>
                </patternFill>
              </fill>
            </x14:dxf>
          </x14:cfRule>
          <xm:sqref>J183:J186 Q183:Q186 X183:X186 AE183:AE186 J189:J190 Q189:Q190 X189:X190 AE189:AE190</xm:sqref>
        </x14:conditionalFormatting>
        <x14:conditionalFormatting xmlns:xm="http://schemas.microsoft.com/office/excel/2006/main">
          <x14:cfRule type="expression" priority="10755" id="{A45C105C-2A49-45D3-AE8A-33CEB14F76C0}">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10756" stopIfTrue="1" id="{4C32F10F-A452-420F-83C2-DE7A34FA1A2E}">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10757" stopIfTrue="1" id="{4FF9BA86-B65B-42F3-A0D1-D62FBE2FA709}">
            <xm:f>AND(IF(J278&lt;'F:\Users\norela.briceno\Documents\Plan de acción\Plan Accion 2018\[Plan Accion Integrado ADRES Vigencia 2018 con Cuadro de Mando V6..xlsx]Plan de Accion 2018'!#REF!,J278&lt;&gt;"N/A"))</xm:f>
            <x14:dxf>
              <fill>
                <patternFill>
                  <bgColor indexed="10"/>
                </patternFill>
              </fill>
            </x14:dxf>
          </x14:cfRule>
          <xm:sqref>J278:J279 Q278:Q279 X278:X279 AE278:AE279 AE282 X282 Q282 J282</xm:sqref>
        </x14:conditionalFormatting>
        <x14:conditionalFormatting xmlns:xm="http://schemas.microsoft.com/office/excel/2006/main">
          <x14:cfRule type="expression" priority="10692" id="{CF2C4B7F-A253-4790-8F65-5E84A4F75B46}">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10693" stopIfTrue="1" id="{033B4C75-25E4-4D6F-88AD-D9BAA3DF720A}">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10694" stopIfTrue="1" id="{659F863F-AA4C-498C-B66C-66E7CE2A2370}">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10689" id="{3658FB8C-28BC-4401-B0F2-B796185BAC2F}">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10690" stopIfTrue="1" id="{E0C5F6DD-084B-4CD2-A042-2DE6EB29D7A0}">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10691" stopIfTrue="1" id="{7228D932-5428-4901-AB21-2A6E859C9DED}">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10686" id="{91E37C97-931C-4089-BE0F-8560F36AF848}">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10687" stopIfTrue="1" id="{F477F5C4-53F0-441E-AD10-76545EE9BEB4}">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10688" stopIfTrue="1" id="{A4C60913-8BA8-4335-9E9D-9EFCAEC73959}">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10683" id="{ED5381FD-FD88-4D09-BF60-1B32DA93C9D9}">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10684" stopIfTrue="1" id="{BD68C0CA-3440-495A-8473-4B125D670725}">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10685" stopIfTrue="1" id="{E1EDF770-F129-46D0-9EFE-25532079EEDA}">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10680" id="{A454F945-8A2D-40E2-8A76-0A7AD3BE76AC}">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10681" stopIfTrue="1" id="{72FE9218-C7CD-4BBD-AF52-8A8BCE52486D}">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10682" stopIfTrue="1" id="{FC9C61A6-DB59-47ED-97E2-90F3C10A2A2C}">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10617" id="{782E4834-7DAD-4C16-AF51-B22D8EF0562A}">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10618" stopIfTrue="1" id="{89C95779-BD3D-4879-AD12-551957F0370C}">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10619" stopIfTrue="1" id="{945FF42D-3F93-4FDB-94B3-638DB42A7CB8}">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10614" id="{88A62AFE-5533-4106-AFDF-E11DF18E1782}">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10615" stopIfTrue="1" id="{4877D6F2-2231-4987-B7E8-EE9D25EC4827}">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10616" stopIfTrue="1" id="{2251D3BE-A8FC-4E9B-8662-D08EA88D9C75}">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10611" id="{A413909D-5572-43AA-B2CF-B194DE0E8D9F}">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10612" stopIfTrue="1" id="{B462D742-5C36-4BB4-8D74-916143FBA5E0}">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10613" stopIfTrue="1" id="{BFD5C913-1E75-4250-8EA7-8DFA11019B87}">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10608" id="{2DCFCAAA-0FA4-4F5E-AFDB-0833478A196C}">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10609" stopIfTrue="1" id="{F1E7EB48-06AB-411A-81A3-EFFA073BB575}">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10610" stopIfTrue="1" id="{1831E6AA-4D78-4899-B4E1-7C4935AE9FA8}">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10605" id="{9B265DC5-D75A-46B9-AD53-3EEB3B9E79D8}">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10606" stopIfTrue="1" id="{BF80F981-1497-4122-8258-CBCE0F9EE5A5}">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10607" stopIfTrue="1" id="{C9560BBE-2BDB-40C5-9026-599B8ACE2597}">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 xmlns:xm="http://schemas.microsoft.com/office/excel/2006/main">
          <x14:cfRule type="expression" priority="10542" id="{8CF43DB3-0218-4140-B29D-A00C83ABD463}">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0543" stopIfTrue="1" id="{CD212740-506B-46C9-B941-9FA42EC40827}">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0544" stopIfTrue="1" id="{126313E7-74AA-4BAC-9AC9-F4C7D13D03D8}">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10539" id="{8D23BECE-BA99-456B-A1B4-7915472D07E0}">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0540" stopIfTrue="1" id="{5F521D38-815F-4BDF-ADC3-723A59209A5D}">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0541" stopIfTrue="1" id="{27F484E9-0630-4D7F-B2BC-DCF1D2644D42}">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10536" id="{2706EC46-81E0-4666-901F-32180D731BAC}">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10537" stopIfTrue="1" id="{0546FBE7-E65A-4B5B-8CE2-5FF0EAED6814}">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10538" stopIfTrue="1" id="{FCDCB31E-292E-47BF-AC2A-A06AA30656A9}">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10533" id="{B7CE00CC-CA22-418C-B434-8295573BC15A}">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10534" stopIfTrue="1" id="{C0CC77B7-A1FE-4F3A-B7D9-C1A0F72D916E}">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10535" stopIfTrue="1" id="{CC7299D0-8CC8-4592-A3E9-9C70AABB5367}">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10530" id="{9D8207DC-7655-4CBA-8EE2-20F12F4D7595}">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10531" stopIfTrue="1" id="{3C6F4E30-1FDE-494E-B2FA-FD183E861252}">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10532" stopIfTrue="1" id="{D9734DE6-8A3B-46A4-82EC-C4C79B8F3773}">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10467" id="{BAFB9ACE-05FD-4BC1-86A2-A312858DA5C8}">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0468" stopIfTrue="1" id="{688FA089-0210-4CB0-B3F6-4CC0CAC31297}">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0469" stopIfTrue="1" id="{71182BEC-C747-4FF1-B2A0-8194192D9E2E}">
            <xm:f>AND(IF(J127&lt;'F:\Users\norela.briceno\Documents\Plan de acción\Plan Accion 2018\[Plan Accion Integrado ADRES Vigencia 2018 con Cuadro de Mando V6..xlsx]Plan de Accion 2018'!#REF!,J127&lt;&gt;"N/A"))</xm:f>
            <x14:dxf>
              <fill>
                <patternFill>
                  <bgColor indexed="10"/>
                </patternFill>
              </fill>
            </x14:dxf>
          </x14:cfRule>
          <xm:sqref>J127 Q127 AE127 X127</xm:sqref>
        </x14:conditionalFormatting>
        <x14:conditionalFormatting xmlns:xm="http://schemas.microsoft.com/office/excel/2006/main">
          <x14:cfRule type="expression" priority="10464" id="{C4566868-652E-4E27-9C22-32AC9F56595B}">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0465" stopIfTrue="1" id="{4E411B8E-5635-4A8D-97BD-6CA0D13C59A6}">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0466" stopIfTrue="1" id="{3BB6E145-B0CD-4E3E-B679-35F7ACEA31AE}">
            <xm:f>AND(IF(J127&lt;'F:\Users\norela.briceno\Documents\Plan de acción\Plan Accion 2018\[Plan Accion Integrado ADRES Vigencia 2018 con Cuadro de Mando V6..xlsx]Plan de Accion 2018'!#REF!,J127&lt;&gt;"N/A"))</xm:f>
            <x14:dxf>
              <fill>
                <patternFill>
                  <bgColor indexed="10"/>
                </patternFill>
              </fill>
            </x14:dxf>
          </x14:cfRule>
          <xm:sqref>J127</xm:sqref>
        </x14:conditionalFormatting>
        <x14:conditionalFormatting xmlns:xm="http://schemas.microsoft.com/office/excel/2006/main">
          <x14:cfRule type="expression" priority="10461" id="{68D47C45-0DC0-4437-B276-52250C62DDF0}">
            <xm:f>AND(IF(Q127&gt;'F:\Users\norela.briceno\Documents\Plan de acción\Plan Accion 2018\[Plan Accion Integrado ADRES Vigencia 2018 con Cuadro de Mando V6..xlsx]Plan de Accion 2018'!#REF!,Q127&lt;&gt;¨N/A¨))</xm:f>
            <x14:dxf>
              <fill>
                <patternFill>
                  <bgColor theme="1" tint="0.499984740745262"/>
                </patternFill>
              </fill>
            </x14:dxf>
          </x14:cfRule>
          <x14:cfRule type="expression" priority="10462" stopIfTrue="1" id="{616966DB-96AB-4B85-9BA1-8FA54CF95ECE}">
            <xm:f>AND(IF(Q127='F:\Users\norela.briceno\Documents\Plan de acción\Plan Accion 2018\[Plan Accion Integrado ADRES Vigencia 2018 con Cuadro de Mando V6..xlsx]Plan de Accion 2018'!#REF!,Q127&lt;&gt;"N/A"))</xm:f>
            <x14:dxf>
              <fill>
                <patternFill>
                  <bgColor rgb="FF00B050"/>
                </patternFill>
              </fill>
            </x14:dxf>
          </x14:cfRule>
          <x14:cfRule type="expression" priority="10463" stopIfTrue="1" id="{DC5C5C1C-EE4E-4795-886F-6516D8C478F6}">
            <xm:f>AND(IF(Q127&lt;'F:\Users\norela.briceno\Documents\Plan de acción\Plan Accion 2018\[Plan Accion Integrado ADRES Vigencia 2018 con Cuadro de Mando V6..xlsx]Plan de Accion 2018'!#REF!,Q127&lt;&gt;"N/A"))</xm:f>
            <x14:dxf>
              <fill>
                <patternFill>
                  <bgColor indexed="10"/>
                </patternFill>
              </fill>
            </x14:dxf>
          </x14:cfRule>
          <xm:sqref>Q127</xm:sqref>
        </x14:conditionalFormatting>
        <x14:conditionalFormatting xmlns:xm="http://schemas.microsoft.com/office/excel/2006/main">
          <x14:cfRule type="expression" priority="10458" id="{22FA5A24-0892-482D-8E00-A0E4E8073A07}">
            <xm:f>AND(IF(X127&gt;'F:\Users\norela.briceno\Documents\Plan de acción\Plan Accion 2018\[Plan Accion Integrado ADRES Vigencia 2018 con Cuadro de Mando V6..xlsx]Plan de Accion 2018'!#REF!,X127&lt;&gt;¨N/A¨))</xm:f>
            <x14:dxf>
              <fill>
                <patternFill>
                  <bgColor theme="1" tint="0.499984740745262"/>
                </patternFill>
              </fill>
            </x14:dxf>
          </x14:cfRule>
          <x14:cfRule type="expression" priority="10459" stopIfTrue="1" id="{3C62B3FF-50A5-4433-8226-7A96F1DD4C2D}">
            <xm:f>AND(IF(X127='F:\Users\norela.briceno\Documents\Plan de acción\Plan Accion 2018\[Plan Accion Integrado ADRES Vigencia 2018 con Cuadro de Mando V6..xlsx]Plan de Accion 2018'!#REF!,X127&lt;&gt;"N/A"))</xm:f>
            <x14:dxf>
              <fill>
                <patternFill>
                  <bgColor rgb="FF00B050"/>
                </patternFill>
              </fill>
            </x14:dxf>
          </x14:cfRule>
          <x14:cfRule type="expression" priority="10460" stopIfTrue="1" id="{8C74935A-5F08-4FCC-94A2-120856131D70}">
            <xm:f>AND(IF(X127&lt;'F:\Users\norela.briceno\Documents\Plan de acción\Plan Accion 2018\[Plan Accion Integrado ADRES Vigencia 2018 con Cuadro de Mando V6..xlsx]Plan de Accion 2018'!#REF!,X127&lt;&gt;"N/A"))</xm:f>
            <x14:dxf>
              <fill>
                <patternFill>
                  <bgColor indexed="10"/>
                </patternFill>
              </fill>
            </x14:dxf>
          </x14:cfRule>
          <xm:sqref>X127</xm:sqref>
        </x14:conditionalFormatting>
        <x14:conditionalFormatting xmlns:xm="http://schemas.microsoft.com/office/excel/2006/main">
          <x14:cfRule type="expression" priority="10455" id="{B1475039-7F9A-4172-88F2-46717A7A709E}">
            <xm:f>AND(IF(AE127&gt;'F:\Users\norela.briceno\Documents\Plan de acción\Plan Accion 2018\[Plan Accion Integrado ADRES Vigencia 2018 con Cuadro de Mando V6..xlsx]Plan de Accion 2018'!#REF!,AE127&lt;&gt;¨N/A¨))</xm:f>
            <x14:dxf>
              <fill>
                <patternFill>
                  <bgColor theme="1" tint="0.499984740745262"/>
                </patternFill>
              </fill>
            </x14:dxf>
          </x14:cfRule>
          <x14:cfRule type="expression" priority="10456" stopIfTrue="1" id="{A5932076-8B86-45D2-A953-A361B8DF46E1}">
            <xm:f>AND(IF(AE127='F:\Users\norela.briceno\Documents\Plan de acción\Plan Accion 2018\[Plan Accion Integrado ADRES Vigencia 2018 con Cuadro de Mando V6..xlsx]Plan de Accion 2018'!#REF!,AE127&lt;&gt;"N/A"))</xm:f>
            <x14:dxf>
              <fill>
                <patternFill>
                  <bgColor rgb="FF00B050"/>
                </patternFill>
              </fill>
            </x14:dxf>
          </x14:cfRule>
          <x14:cfRule type="expression" priority="10457" stopIfTrue="1" id="{7A78EF05-7C62-4AA2-91AD-BE116291B4EC}">
            <xm:f>AND(IF(AE127&lt;'F:\Users\norela.briceno\Documents\Plan de acción\Plan Accion 2018\[Plan Accion Integrado ADRES Vigencia 2018 con Cuadro de Mando V6..xlsx]Plan de Accion 2018'!#REF!,AE127&lt;&gt;"N/A"))</xm:f>
            <x14:dxf>
              <fill>
                <patternFill>
                  <bgColor indexed="10"/>
                </patternFill>
              </fill>
            </x14:dxf>
          </x14:cfRule>
          <xm:sqref>AE127</xm:sqref>
        </x14:conditionalFormatting>
        <x14:conditionalFormatting xmlns:xm="http://schemas.microsoft.com/office/excel/2006/main">
          <x14:cfRule type="expression" priority="10392" id="{345FDADD-7F8F-482C-A6CD-A7D6CC1EFDCB}">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0393" stopIfTrue="1" id="{EA2517A4-FB06-4548-8593-E8EF7D3BCD83}">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0394" stopIfTrue="1" id="{45515485-A3E2-4761-8337-DCE0F77294F2}">
            <xm:f>AND(IF(J128&lt;'F:\Users\norela.briceno\Documents\Plan de acción\Plan Accion 2018\[Plan Accion Integrado ADRES Vigencia 2018 con Cuadro de Mando V6..xlsx]Plan de Accion 2018'!#REF!,J128&lt;&gt;"N/A"))</xm:f>
            <x14:dxf>
              <fill>
                <patternFill>
                  <bgColor indexed="10"/>
                </patternFill>
              </fill>
            </x14:dxf>
          </x14:cfRule>
          <xm:sqref>J128 Q128 AE128 X128</xm:sqref>
        </x14:conditionalFormatting>
        <x14:conditionalFormatting xmlns:xm="http://schemas.microsoft.com/office/excel/2006/main">
          <x14:cfRule type="expression" priority="10389" id="{4EDD34F0-4064-4E35-925A-1E6A03959CEA}">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0390" stopIfTrue="1" id="{8D1DC3C2-8550-421B-BEDB-D7AC87A06BD8}">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0391" stopIfTrue="1" id="{320B4BAA-2542-47A9-9D77-51AC705062BA}">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0386" id="{74446AF8-2983-4A7F-9007-0A1C02CBF0BF}">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0387" stopIfTrue="1" id="{A9E34C62-635E-4344-B123-D799AC94ABAC}">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0388" stopIfTrue="1" id="{B29F14C2-D20D-4E53-B6BA-BB950632B9B0}">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0383" id="{650931FF-D608-439A-BE9B-24636D01892B}">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0384" stopIfTrue="1" id="{5741FDAB-E186-4657-85A8-0C0699D80AC3}">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0385" stopIfTrue="1" id="{FCEEF355-FF58-4EFC-8FCF-6CBDBA27273C}">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0380" id="{E2EA5FDB-54F0-4BD5-A2D2-8859486BD2FE}">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0381" stopIfTrue="1" id="{382AE90A-4427-472D-97ED-51B37B20C0B0}">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0382" stopIfTrue="1" id="{02E45371-9C5D-4E28-A09B-8C243E013616}">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0317" id="{10B74661-DECF-4DA0-A6EB-0ACC5BC9A9FB}">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0318" stopIfTrue="1" id="{13F241C3-0439-4FDB-B321-E557CF6C5B76}">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0319" stopIfTrue="1" id="{BA2CAEA7-6800-4190-9ABD-1909AFBCD330}">
            <xm:f>AND(IF(J129&lt;'F:\Users\norela.briceno\Documents\Plan de acción\Plan Accion 2018\[Plan Accion Integrado ADRES Vigencia 2018 con Cuadro de Mando V6..xlsx]Plan de Accion 2018'!#REF!,J129&lt;&gt;"N/A"))</xm:f>
            <x14:dxf>
              <fill>
                <patternFill>
                  <bgColor indexed="10"/>
                </patternFill>
              </fill>
            </x14:dxf>
          </x14:cfRule>
          <xm:sqref>J129 Q129 AE129 X129</xm:sqref>
        </x14:conditionalFormatting>
        <x14:conditionalFormatting xmlns:xm="http://schemas.microsoft.com/office/excel/2006/main">
          <x14:cfRule type="expression" priority="10314" id="{DA4764F5-DEDC-4005-86DB-0991DC5AE45F}">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0315" stopIfTrue="1" id="{BD86F5C8-294D-41F9-8F21-A132BE1CE4FC}">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0316" stopIfTrue="1" id="{6D6BE3B4-E2B3-427A-8465-968AC720CED4}">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0311" id="{6ECC91BD-5A51-4821-A85E-323E4B0F35A6}">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0312" stopIfTrue="1" id="{CAA6DECE-62B4-4FBE-B02C-8E6DE640F97A}">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0313" stopIfTrue="1" id="{3A83D889-8706-4DE3-956D-89156E686470}">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0308" id="{B0C872D9-EB57-4455-966E-ADCF3340E2F7}">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0309" stopIfTrue="1" id="{09A8D678-B386-46FA-806C-8315863C8204}">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0310" stopIfTrue="1" id="{37D62358-E5D0-4946-8216-BDF22682BD7B}">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0305" id="{33DB1820-9E39-42EE-A288-56AFD16C2A0C}">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0306" stopIfTrue="1" id="{3D8DBBB0-283B-42EF-BC8C-C00F5F2A8FE2}">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0307" stopIfTrue="1" id="{416C0F02-6A67-4560-B2E9-8E65F4B12CA8}">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0242" id="{95E31C7C-BFB5-431B-98E2-787EB1E03027}">
            <xm:f>AND(IF(J191&gt;'F:\Users\norela.briceno\Documents\Plan de acción\Plan Accion 2018\[Plan Accion Integrado ADRES Vigencia 2018 con Cuadro de Mando V6..xlsx]Plan de Accion 2018'!#REF!,J191&lt;&gt;¨N/A¨))</xm:f>
            <x14:dxf>
              <fill>
                <patternFill>
                  <bgColor theme="1" tint="0.499984740745262"/>
                </patternFill>
              </fill>
            </x14:dxf>
          </x14:cfRule>
          <x14:cfRule type="expression" priority="10243" stopIfTrue="1" id="{A9B2D0FF-8D2A-4C3E-A3CD-868E70C9F84E}">
            <xm:f>AND(IF(J191='F:\Users\norela.briceno\Documents\Plan de acción\Plan Accion 2018\[Plan Accion Integrado ADRES Vigencia 2018 con Cuadro de Mando V6..xlsx]Plan de Accion 2018'!#REF!,J191&lt;&gt;"N/A"))</xm:f>
            <x14:dxf>
              <fill>
                <patternFill>
                  <bgColor rgb="FF00B050"/>
                </patternFill>
              </fill>
            </x14:dxf>
          </x14:cfRule>
          <x14:cfRule type="expression" priority="10244" stopIfTrue="1" id="{EE45E443-5FB9-4506-896E-8022BB59AA38}">
            <xm:f>AND(IF(J191&lt;'F:\Users\norela.briceno\Documents\Plan de acción\Plan Accion 2018\[Plan Accion Integrado ADRES Vigencia 2018 con Cuadro de Mando V6..xlsx]Plan de Accion 2018'!#REF!,J191&lt;&gt;"N/A"))</xm:f>
            <x14:dxf>
              <fill>
                <patternFill>
                  <bgColor indexed="10"/>
                </patternFill>
              </fill>
            </x14:dxf>
          </x14:cfRule>
          <xm:sqref>J191 Q191 X191 AE191</xm:sqref>
        </x14:conditionalFormatting>
        <x14:conditionalFormatting xmlns:xm="http://schemas.microsoft.com/office/excel/2006/main">
          <x14:cfRule type="expression" priority="10139" id="{3FA35CF8-1E0A-42C8-9397-A39A41AF6741}">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10140" stopIfTrue="1" id="{E07CA0F3-60AD-4A30-9B30-C62EE5DC2373}">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10141" stopIfTrue="1" id="{1A4E7518-EAE7-46E1-946C-FB2DED991932}">
            <xm:f>AND(IF(J283&lt;'F:\Users\norela.briceno\Documents\Plan de acción\Plan Accion 2018\[Plan Accion Integrado ADRES Vigencia 2018 con Cuadro de Mando V6..xlsx]Plan de Accion 2018'!#REF!,J283&lt;&gt;"N/A"))</xm:f>
            <x14:dxf>
              <fill>
                <patternFill>
                  <bgColor indexed="10"/>
                </patternFill>
              </fill>
            </x14:dxf>
          </x14:cfRule>
          <xm:sqref>J283 Q283 X283 AE283</xm:sqref>
        </x14:conditionalFormatting>
        <x14:conditionalFormatting xmlns:xm="http://schemas.microsoft.com/office/excel/2006/main">
          <x14:cfRule type="expression" priority="10076" id="{945D5B08-7867-4D7A-9593-19735A2D5490}">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10077" stopIfTrue="1" id="{BAE454C2-7892-49E4-B334-1DD65ED62880}">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10078" stopIfTrue="1" id="{1C167587-FD4E-449F-9F13-FAE22FEC69C6}">
            <xm:f>AND(IF(J286&lt;'F:\Users\norela.briceno\Documents\Plan de acción\Plan Accion 2018\[Plan Accion Integrado ADRES Vigencia 2018 con Cuadro de Mando V6..xlsx]Plan de Accion 2018'!#REF!,J286&lt;&gt;"N/A"))</xm:f>
            <x14:dxf>
              <fill>
                <patternFill>
                  <bgColor indexed="10"/>
                </patternFill>
              </fill>
            </x14:dxf>
          </x14:cfRule>
          <xm:sqref>J286 Q286 X286 AE286</xm:sqref>
        </x14:conditionalFormatting>
        <x14:conditionalFormatting xmlns:xm="http://schemas.microsoft.com/office/excel/2006/main">
          <x14:cfRule type="expression" priority="10013" id="{EE5E8DBF-3EC7-465A-892C-58DADDEB7293}">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10014" stopIfTrue="1" id="{CEABEA3A-8438-45C0-A6C3-128BD24B73C3}">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10015" stopIfTrue="1" id="{A9C4F5D4-6437-430C-9169-FEF92E0F5526}">
            <xm:f>AND(IF(J291&lt;'F:\Users\norela.briceno\Documents\Plan de acción\Plan Accion 2018\[Plan Accion Integrado ADRES Vigencia 2018 con Cuadro de Mando V6..xlsx]Plan de Accion 2018'!#REF!,J291&lt;&gt;"N/A"))</xm:f>
            <x14:dxf>
              <fill>
                <patternFill>
                  <bgColor indexed="10"/>
                </patternFill>
              </fill>
            </x14:dxf>
          </x14:cfRule>
          <xm:sqref>J291 Q291 X291 AE291</xm:sqref>
        </x14:conditionalFormatting>
        <x14:conditionalFormatting xmlns:xm="http://schemas.microsoft.com/office/excel/2006/main">
          <x14:cfRule type="expression" priority="9887" id="{3DB16393-4112-40C2-ACB4-C5DBF3C1C15E}">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9888" stopIfTrue="1" id="{4ABFA1EC-1377-43AE-9592-A3E3FC115AAC}">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9889" stopIfTrue="1" id="{AC8E1CDE-380B-4F2A-943B-766F6666EC75}">
            <xm:f>AND(IF(J292&lt;'F:\Users\norela.briceno\Documents\Plan de acción\Plan Accion 2018\[Plan Accion Integrado ADRES Vigencia 2018 con Cuadro de Mando V6..xlsx]Plan de Accion 2018'!#REF!,J292&lt;&gt;"N/A"))</xm:f>
            <x14:dxf>
              <fill>
                <patternFill>
                  <bgColor indexed="10"/>
                </patternFill>
              </fill>
            </x14:dxf>
          </x14:cfRule>
          <xm:sqref>J292 Q292 X292 AE292</xm:sqref>
        </x14:conditionalFormatting>
        <x14:conditionalFormatting xmlns:xm="http://schemas.microsoft.com/office/excel/2006/main">
          <x14:cfRule type="expression" priority="9570" id="{DA9804C3-F419-4F03-8472-CEF23CF6863C}">
            <xm:f>AND(IF(Q296&gt;'F:\Users\norela.briceno\Documents\Plan de acción\Plan Accion 2018\[Plan Accion Integrado ADRES Vigencia 2018 con Cuadro de Mando V6..xlsx]Plan de Accion 2018'!#REF!,Q296&lt;&gt;¨N/A¨))</xm:f>
            <x14:dxf>
              <fill>
                <patternFill>
                  <bgColor theme="1" tint="0.499984740745262"/>
                </patternFill>
              </fill>
            </x14:dxf>
          </x14:cfRule>
          <x14:cfRule type="expression" priority="9571" stopIfTrue="1" id="{33FF15E7-8C6E-4073-A86E-6182ADC67501}">
            <xm:f>AND(IF(Q296='F:\Users\norela.briceno\Documents\Plan de acción\Plan Accion 2018\[Plan Accion Integrado ADRES Vigencia 2018 con Cuadro de Mando V6..xlsx]Plan de Accion 2018'!#REF!,Q296&lt;&gt;"N/A"))</xm:f>
            <x14:dxf>
              <fill>
                <patternFill>
                  <bgColor rgb="FF00B050"/>
                </patternFill>
              </fill>
            </x14:dxf>
          </x14:cfRule>
          <x14:cfRule type="expression" priority="9572" stopIfTrue="1" id="{12EA96DF-AB98-413F-9170-6142D1EE7770}">
            <xm:f>AND(IF(Q296&lt;'F:\Users\norela.briceno\Documents\Plan de acción\Plan Accion 2018\[Plan Accion Integrado ADRES Vigencia 2018 con Cuadro de Mando V6..xlsx]Plan de Accion 2018'!#REF!,Q296&lt;&gt;"N/A"))</xm:f>
            <x14:dxf>
              <fill>
                <patternFill>
                  <bgColor indexed="10"/>
                </patternFill>
              </fill>
            </x14:dxf>
          </x14:cfRule>
          <xm:sqref>Q296 X296 AE296</xm:sqref>
        </x14:conditionalFormatting>
        <x14:conditionalFormatting xmlns:xm="http://schemas.microsoft.com/office/excel/2006/main">
          <x14:cfRule type="expression" priority="8680" id="{7FBC66E1-80BF-4EC2-846C-CEF70A797407}">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8681" stopIfTrue="1" id="{B6DBF9F6-2D89-425D-80A7-9FB2AF09A9BC}">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8682" stopIfTrue="1" id="{CB724BC3-B644-4DD7-BDD4-1EDC670D319A}">
            <xm:f>AND(IF(J298&lt;'F:\Users\norela.briceno\Documents\Plan de acción\Plan Accion 2018\[Plan Accion Integrado ADRES Vigencia 2018 con Cuadro de Mando V6..xlsx]Plan de Accion 2018'!#REF!,J298&lt;&gt;"N/A"))</xm:f>
            <x14:dxf>
              <fill>
                <patternFill>
                  <bgColor indexed="10"/>
                </patternFill>
              </fill>
            </x14:dxf>
          </x14:cfRule>
          <xm:sqref>J298 Q298 X298 AE298</xm:sqref>
        </x14:conditionalFormatting>
        <x14:conditionalFormatting xmlns:xm="http://schemas.microsoft.com/office/excel/2006/main">
          <x14:cfRule type="expression" priority="8592" id="{E6815D59-EC6B-469B-BA39-F4832B6FAB07}">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8593" stopIfTrue="1" id="{6B638114-E0DA-4E6F-BA05-A0224FB60265}">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8594" stopIfTrue="1" id="{F9583275-9359-4C02-ABBC-65F156299A99}">
            <xm:f>AND(IF(J300&lt;'F:\Users\norela.briceno\Documents\Plan de acción\Plan Accion 2018\[Plan Accion Integrado ADRES Vigencia 2018 con Cuadro de Mando V6..xlsx]Plan de Accion 2018'!#REF!,J300&lt;&gt;"N/A"))</xm:f>
            <x14:dxf>
              <fill>
                <patternFill>
                  <bgColor indexed="10"/>
                </patternFill>
              </fill>
            </x14:dxf>
          </x14:cfRule>
          <xm:sqref>J300 Q300 X300 AE300</xm:sqref>
        </x14:conditionalFormatting>
        <x14:conditionalFormatting xmlns:xm="http://schemas.microsoft.com/office/excel/2006/main">
          <x14:cfRule type="expression" priority="8446" id="{7E34D8BF-FB72-4755-942F-CA87596B1D7C}">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8447" stopIfTrue="1" id="{16E8DCA2-C25C-482B-AD38-1E8A172A093E}">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8448" stopIfTrue="1" id="{A531E29E-7E36-4CFD-A7DE-B98A7F6CDAA2}">
            <xm:f>AND(IF(J199&lt;'F:\Users\norela.briceno\Documents\Plan de acción\Plan Accion 2018\[Plan Accion Integrado ADRES Vigencia 2018 con Cuadro de Mando V6..xlsx]Plan de Accion 2018'!#REF!,J199&lt;&gt;"N/A"))</xm:f>
            <x14:dxf>
              <fill>
                <patternFill>
                  <bgColor indexed="10"/>
                </patternFill>
              </fill>
            </x14:dxf>
          </x14:cfRule>
          <xm:sqref>J199 X199 Q199 AE199</xm:sqref>
        </x14:conditionalFormatting>
        <x14:conditionalFormatting xmlns:xm="http://schemas.microsoft.com/office/excel/2006/main">
          <x14:cfRule type="expression" priority="7957" id="{244013CA-38AE-4D52-9489-69B43CEFDBCD}">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7958" stopIfTrue="1" id="{D3E6DFF6-8AEA-4050-BAA5-CE675D2FA083}">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7959" stopIfTrue="1" id="{302F416C-3D19-48F1-81F6-1B946C3503E0}">
            <xm:f>AND(IF(J149&lt;'F:\Users\norela.briceno\Documents\Plan de acción\Plan Accion 2018\[Plan Accion Integrado ADRES Vigencia 2018 con Cuadro de Mando V6..xlsx]Plan de Accion 2018'!#REF!,J149&lt;&gt;"N/A"))</xm:f>
            <x14:dxf>
              <fill>
                <patternFill>
                  <bgColor indexed="10"/>
                </patternFill>
              </fill>
            </x14:dxf>
          </x14:cfRule>
          <xm:sqref>J149</xm:sqref>
        </x14:conditionalFormatting>
        <x14:conditionalFormatting xmlns:xm="http://schemas.microsoft.com/office/excel/2006/main">
          <x14:cfRule type="expression" priority="7954" id="{0A44516A-C574-4507-BDA0-780D8F369963}">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7955" stopIfTrue="1" id="{7278FCE0-F109-4F2A-97F5-7CF72E3E5BDA}">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7956" stopIfTrue="1" id="{8F1E022E-ED9A-476A-86CE-7A6073AAEBA7}">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7951" id="{6F5D7FE3-5B01-41C5-9787-3AEF31C470EB}">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7952" stopIfTrue="1" id="{B5466192-6917-4AE5-8BC0-81BABE0A119F}">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7953" stopIfTrue="1" id="{5F9AC662-6C05-475E-ADF2-EC4D887A5B93}">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7948" id="{C194BB4B-286D-44AB-AE2D-36F8F89FD8D8}">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7949" stopIfTrue="1" id="{49513C92-228F-4E81-A3F3-5D3F1D4FAA58}">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7950" stopIfTrue="1" id="{D6A6ECFB-0D27-47AA-866E-7BBF297E30CC}">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7945" id="{B4933F25-B068-4196-BDF4-EE650820DF1F}">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7946" stopIfTrue="1" id="{E1544D23-1B1B-4972-B28D-863AB422394F}">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7947" stopIfTrue="1" id="{DC4ABF4E-4363-4BBE-B0FD-472C4254AD8E}">
            <xm:f>AND(IF(J154&lt;'F:\Users\norela.briceno\Documents\Plan de acción\Plan Accion 2018\[Plan Accion Integrado ADRES Vigencia 2018 con Cuadro de Mando V6..xlsx]Plan de Accion 2018'!#REF!,J154&lt;&gt;"N/A"))</xm:f>
            <x14:dxf>
              <fill>
                <patternFill>
                  <bgColor indexed="10"/>
                </patternFill>
              </fill>
            </x14:dxf>
          </x14:cfRule>
          <xm:sqref>J154</xm:sqref>
        </x14:conditionalFormatting>
        <x14:conditionalFormatting xmlns:xm="http://schemas.microsoft.com/office/excel/2006/main">
          <x14:cfRule type="expression" priority="7939" id="{1EDA1875-2D11-427A-98E9-D7CF349CC6A8}">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7940" stopIfTrue="1" id="{EFD92D8E-7B10-4E44-AA5C-E82F2C0B6243}">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7941" stopIfTrue="1" id="{7CB10EFF-6E9F-4C80-947D-DD1E16C420DE}">
            <xm:f>AND(IF(J165&lt;'F:\Users\norela.briceno\Documents\Plan de acción\Plan Accion 2018\[Plan Accion Integrado ADRES Vigencia 2018 con Cuadro de Mando V6..xlsx]Plan de Accion 2018'!#REF!,J165&lt;&gt;"N/A"))</xm:f>
            <x14:dxf>
              <fill>
                <patternFill>
                  <bgColor indexed="10"/>
                </patternFill>
              </fill>
            </x14:dxf>
          </x14:cfRule>
          <xm:sqref>J165</xm:sqref>
        </x14:conditionalFormatting>
        <x14:conditionalFormatting xmlns:xm="http://schemas.microsoft.com/office/excel/2006/main">
          <x14:cfRule type="expression" priority="7936" id="{2F1763D9-FDB3-4275-BAF9-E07CA7D8B7D6}">
            <xm:f>AND(IF(J168&gt;'F:\Users\norela.briceno\Documents\Plan de acción\Plan Accion 2018\[Plan Accion Integrado ADRES Vigencia 2018 con Cuadro de Mando V6..xlsx]Plan de Accion 2018'!#REF!,J168&lt;&gt;¨N/A¨))</xm:f>
            <x14:dxf>
              <fill>
                <patternFill>
                  <bgColor theme="1" tint="0.499984740745262"/>
                </patternFill>
              </fill>
            </x14:dxf>
          </x14:cfRule>
          <x14:cfRule type="expression" priority="7937" stopIfTrue="1" id="{2CDD399C-58CF-4CB6-9D17-2374E6718AB7}">
            <xm:f>AND(IF(J168='F:\Users\norela.briceno\Documents\Plan de acción\Plan Accion 2018\[Plan Accion Integrado ADRES Vigencia 2018 con Cuadro de Mando V6..xlsx]Plan de Accion 2018'!#REF!,J168&lt;&gt;"N/A"))</xm:f>
            <x14:dxf>
              <fill>
                <patternFill>
                  <bgColor rgb="FF00B050"/>
                </patternFill>
              </fill>
            </x14:dxf>
          </x14:cfRule>
          <x14:cfRule type="expression" priority="7938" stopIfTrue="1" id="{086F201D-692D-412C-9620-1A18F2381C17}">
            <xm:f>AND(IF(J168&lt;'F:\Users\norela.briceno\Documents\Plan de acción\Plan Accion 2018\[Plan Accion Integrado ADRES Vigencia 2018 con Cuadro de Mando V6..xlsx]Plan de Accion 2018'!#REF!,J168&lt;&gt;"N/A"))</xm:f>
            <x14:dxf>
              <fill>
                <patternFill>
                  <bgColor indexed="10"/>
                </patternFill>
              </fill>
            </x14:dxf>
          </x14:cfRule>
          <xm:sqref>J168</xm:sqref>
        </x14:conditionalFormatting>
        <x14:conditionalFormatting xmlns:xm="http://schemas.microsoft.com/office/excel/2006/main">
          <x14:cfRule type="expression" priority="7933" id="{65B84C80-6790-4144-834D-520DF6521BD9}">
            <xm:f>AND(IF(J169&gt;'F:\Users\norela.briceno\Documents\Plan de acción\Plan Accion 2018\[Plan Accion Integrado ADRES Vigencia 2018 con Cuadro de Mando V6..xlsx]Plan de Accion 2018'!#REF!,J169&lt;&gt;¨N/A¨))</xm:f>
            <x14:dxf>
              <fill>
                <patternFill>
                  <bgColor theme="1" tint="0.499984740745262"/>
                </patternFill>
              </fill>
            </x14:dxf>
          </x14:cfRule>
          <x14:cfRule type="expression" priority="7934" stopIfTrue="1" id="{2FB14098-50B8-45B9-A316-CF83EC7AD9BF}">
            <xm:f>AND(IF(J169='F:\Users\norela.briceno\Documents\Plan de acción\Plan Accion 2018\[Plan Accion Integrado ADRES Vigencia 2018 con Cuadro de Mando V6..xlsx]Plan de Accion 2018'!#REF!,J169&lt;&gt;"N/A"))</xm:f>
            <x14:dxf>
              <fill>
                <patternFill>
                  <bgColor rgb="FF00B050"/>
                </patternFill>
              </fill>
            </x14:dxf>
          </x14:cfRule>
          <x14:cfRule type="expression" priority="7935" stopIfTrue="1" id="{4CB19694-C269-4C9A-9C18-E4B7F7B57920}">
            <xm:f>AND(IF(J169&lt;'F:\Users\norela.briceno\Documents\Plan de acción\Plan Accion 2018\[Plan Accion Integrado ADRES Vigencia 2018 con Cuadro de Mando V6..xlsx]Plan de Accion 2018'!#REF!,J169&lt;&gt;"N/A"))</xm:f>
            <x14:dxf>
              <fill>
                <patternFill>
                  <bgColor indexed="10"/>
                </patternFill>
              </fill>
            </x14:dxf>
          </x14:cfRule>
          <xm:sqref>J169</xm:sqref>
        </x14:conditionalFormatting>
        <x14:conditionalFormatting xmlns:xm="http://schemas.microsoft.com/office/excel/2006/main">
          <x14:cfRule type="expression" priority="7930" id="{0FC0680F-D424-4763-AF68-63D1BB0C3523}">
            <xm:f>AND(IF(J170&gt;'F:\Users\norela.briceno\Documents\Plan de acción\Plan Accion 2018\[Plan Accion Integrado ADRES Vigencia 2018 con Cuadro de Mando V6..xlsx]Plan de Accion 2018'!#REF!,J170&lt;&gt;¨N/A¨))</xm:f>
            <x14:dxf>
              <fill>
                <patternFill>
                  <bgColor theme="1" tint="0.499984740745262"/>
                </patternFill>
              </fill>
            </x14:dxf>
          </x14:cfRule>
          <x14:cfRule type="expression" priority="7931" stopIfTrue="1" id="{B3270AAE-A6F8-47AA-943D-BB727CF4D9BE}">
            <xm:f>AND(IF(J170='F:\Users\norela.briceno\Documents\Plan de acción\Plan Accion 2018\[Plan Accion Integrado ADRES Vigencia 2018 con Cuadro de Mando V6..xlsx]Plan de Accion 2018'!#REF!,J170&lt;&gt;"N/A"))</xm:f>
            <x14:dxf>
              <fill>
                <patternFill>
                  <bgColor rgb="FF00B050"/>
                </patternFill>
              </fill>
            </x14:dxf>
          </x14:cfRule>
          <x14:cfRule type="expression" priority="7932" stopIfTrue="1" id="{19DF8F0C-AA38-4248-88C8-2ED596856E25}">
            <xm:f>AND(IF(J170&lt;'F:\Users\norela.briceno\Documents\Plan de acción\Plan Accion 2018\[Plan Accion Integrado ADRES Vigencia 2018 con Cuadro de Mando V6..xlsx]Plan de Accion 2018'!#REF!,J170&lt;&gt;"N/A"))</xm:f>
            <x14:dxf>
              <fill>
                <patternFill>
                  <bgColor indexed="10"/>
                </patternFill>
              </fill>
            </x14:dxf>
          </x14:cfRule>
          <xm:sqref>J170</xm:sqref>
        </x14:conditionalFormatting>
        <x14:conditionalFormatting xmlns:xm="http://schemas.microsoft.com/office/excel/2006/main">
          <x14:cfRule type="expression" priority="7927" id="{84ED6F0B-63EC-4F98-938D-6B1E3EB58A3D}">
            <xm:f>AND(IF(J171&gt;'F:\Users\norela.briceno\Documents\Plan de acción\Plan Accion 2018\[Plan Accion Integrado ADRES Vigencia 2018 con Cuadro de Mando V6..xlsx]Plan de Accion 2018'!#REF!,J171&lt;&gt;¨N/A¨))</xm:f>
            <x14:dxf>
              <fill>
                <patternFill>
                  <bgColor theme="1" tint="0.499984740745262"/>
                </patternFill>
              </fill>
            </x14:dxf>
          </x14:cfRule>
          <x14:cfRule type="expression" priority="7928" stopIfTrue="1" id="{437270FF-9920-4007-A600-AE2F375DF56E}">
            <xm:f>AND(IF(J171='F:\Users\norela.briceno\Documents\Plan de acción\Plan Accion 2018\[Plan Accion Integrado ADRES Vigencia 2018 con Cuadro de Mando V6..xlsx]Plan de Accion 2018'!#REF!,J171&lt;&gt;"N/A"))</xm:f>
            <x14:dxf>
              <fill>
                <patternFill>
                  <bgColor rgb="FF00B050"/>
                </patternFill>
              </fill>
            </x14:dxf>
          </x14:cfRule>
          <x14:cfRule type="expression" priority="7929" stopIfTrue="1" id="{549206F0-6038-403D-8993-45C30A683179}">
            <xm:f>AND(IF(J171&lt;'F:\Users\norela.briceno\Documents\Plan de acción\Plan Accion 2018\[Plan Accion Integrado ADRES Vigencia 2018 con Cuadro de Mando V6..xlsx]Plan de Accion 2018'!#REF!,J171&lt;&gt;"N/A"))</xm:f>
            <x14:dxf>
              <fill>
                <patternFill>
                  <bgColor indexed="10"/>
                </patternFill>
              </fill>
            </x14:dxf>
          </x14:cfRule>
          <xm:sqref>J171</xm:sqref>
        </x14:conditionalFormatting>
        <x14:conditionalFormatting xmlns:xm="http://schemas.microsoft.com/office/excel/2006/main">
          <x14:cfRule type="expression" priority="7924" id="{8B07F2E8-E93A-4291-BE82-631F8A3B54E1}">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7925" stopIfTrue="1" id="{AEFDDF29-B3A6-464A-83CE-D315D909C2B1}">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7926" stopIfTrue="1" id="{21603C01-0586-4D5C-9F5A-754484D86EEF}">
            <xm:f>AND(IF(J173&lt;'F:\Users\norela.briceno\Documents\Plan de acción\Plan Accion 2018\[Plan Accion Integrado ADRES Vigencia 2018 con Cuadro de Mando V6..xlsx]Plan de Accion 2018'!#REF!,J173&lt;&gt;"N/A"))</xm:f>
            <x14:dxf>
              <fill>
                <patternFill>
                  <bgColor indexed="10"/>
                </patternFill>
              </fill>
            </x14:dxf>
          </x14:cfRule>
          <xm:sqref>J173</xm:sqref>
        </x14:conditionalFormatting>
        <x14:conditionalFormatting xmlns:xm="http://schemas.microsoft.com/office/excel/2006/main">
          <x14:cfRule type="expression" priority="7921" id="{64C921EC-F54E-4029-804D-F123D9C46AE0}">
            <xm:f>AND(IF(J175&gt;'F:\Users\norela.briceno\Documents\Plan de acción\Plan Accion 2018\[Plan Accion Integrado ADRES Vigencia 2018 con Cuadro de Mando V6..xlsx]Plan de Accion 2018'!#REF!,J175&lt;&gt;¨N/A¨))</xm:f>
            <x14:dxf>
              <fill>
                <patternFill>
                  <bgColor theme="1" tint="0.499984740745262"/>
                </patternFill>
              </fill>
            </x14:dxf>
          </x14:cfRule>
          <x14:cfRule type="expression" priority="7922" stopIfTrue="1" id="{996275F5-3136-4EDD-B9C1-B1C637787B84}">
            <xm:f>AND(IF(J175='F:\Users\norela.briceno\Documents\Plan de acción\Plan Accion 2018\[Plan Accion Integrado ADRES Vigencia 2018 con Cuadro de Mando V6..xlsx]Plan de Accion 2018'!#REF!,J175&lt;&gt;"N/A"))</xm:f>
            <x14:dxf>
              <fill>
                <patternFill>
                  <bgColor rgb="FF00B050"/>
                </patternFill>
              </fill>
            </x14:dxf>
          </x14:cfRule>
          <x14:cfRule type="expression" priority="7923" stopIfTrue="1" id="{7176D2C9-B69A-4F1E-997B-ADE22BC352A0}">
            <xm:f>AND(IF(J175&lt;'F:\Users\norela.briceno\Documents\Plan de acción\Plan Accion 2018\[Plan Accion Integrado ADRES Vigencia 2018 con Cuadro de Mando V6..xlsx]Plan de Accion 2018'!#REF!,J175&lt;&gt;"N/A"))</xm:f>
            <x14:dxf>
              <fill>
                <patternFill>
                  <bgColor indexed="10"/>
                </patternFill>
              </fill>
            </x14:dxf>
          </x14:cfRule>
          <xm:sqref>J175</xm:sqref>
        </x14:conditionalFormatting>
        <x14:conditionalFormatting xmlns:xm="http://schemas.microsoft.com/office/excel/2006/main">
          <x14:cfRule type="expression" priority="7918" id="{B36A1453-8E22-47E9-9B03-131F3CB505BB}">
            <xm:f>AND(IF(J176&gt;'F:\Users\norela.briceno\Documents\Plan de acción\Plan Accion 2018\[Plan Accion Integrado ADRES Vigencia 2018 con Cuadro de Mando V6..xlsx]Plan de Accion 2018'!#REF!,J176&lt;&gt;¨N/A¨))</xm:f>
            <x14:dxf>
              <fill>
                <patternFill>
                  <bgColor theme="1" tint="0.499984740745262"/>
                </patternFill>
              </fill>
            </x14:dxf>
          </x14:cfRule>
          <x14:cfRule type="expression" priority="7919" stopIfTrue="1" id="{496A2E86-9B20-4282-B03A-42EFF1856F99}">
            <xm:f>AND(IF(J176='F:\Users\norela.briceno\Documents\Plan de acción\Plan Accion 2018\[Plan Accion Integrado ADRES Vigencia 2018 con Cuadro de Mando V6..xlsx]Plan de Accion 2018'!#REF!,J176&lt;&gt;"N/A"))</xm:f>
            <x14:dxf>
              <fill>
                <patternFill>
                  <bgColor rgb="FF00B050"/>
                </patternFill>
              </fill>
            </x14:dxf>
          </x14:cfRule>
          <x14:cfRule type="expression" priority="7920" stopIfTrue="1" id="{8994FDBD-3099-40CB-AE4F-8FDADFC50BC3}">
            <xm:f>AND(IF(J176&lt;'F:\Users\norela.briceno\Documents\Plan de acción\Plan Accion 2018\[Plan Accion Integrado ADRES Vigencia 2018 con Cuadro de Mando V6..xlsx]Plan de Accion 2018'!#REF!,J176&lt;&gt;"N/A"))</xm:f>
            <x14:dxf>
              <fill>
                <patternFill>
                  <bgColor indexed="10"/>
                </patternFill>
              </fill>
            </x14:dxf>
          </x14:cfRule>
          <xm:sqref>J176</xm:sqref>
        </x14:conditionalFormatting>
        <x14:conditionalFormatting xmlns:xm="http://schemas.microsoft.com/office/excel/2006/main">
          <x14:cfRule type="expression" priority="7915" id="{EE8E346B-16B3-40B7-BD2C-14F68D12069C}">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7916" stopIfTrue="1" id="{73406613-DC1D-4A13-9C0E-047B7285729C}">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7917" stopIfTrue="1" id="{1E56FBAB-59F0-4DA1-A38B-758E57D23242}">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7912" id="{10D8C890-F4A9-43CA-B9EE-C6554B0216A9}">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7913" stopIfTrue="1" id="{34961AB4-A1BB-4D51-BE8D-3BBF1455B7B9}">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7914" stopIfTrue="1" id="{E266C23A-AFF1-407D-AD35-A223FBA5D24D}">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7909" id="{A5349E4B-3664-41DE-A700-A4F3BCB05536}">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7910" stopIfTrue="1" id="{92F09422-AE9E-42A5-BD66-EE1343FB7DB5}">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7911" stopIfTrue="1" id="{F833357B-64A4-4C75-A907-09760FE6491C}">
            <xm:f>AND(IF(J187&lt;'F:\Users\norela.briceno\Documents\Plan de acción\Plan Accion 2018\[Plan Accion Integrado ADRES Vigencia 2018 con Cuadro de Mando V6..xlsx]Plan de Accion 2018'!#REF!,J187&lt;&gt;"N/A"))</xm:f>
            <x14:dxf>
              <fill>
                <patternFill>
                  <bgColor indexed="10"/>
                </patternFill>
              </fill>
            </x14:dxf>
          </x14:cfRule>
          <xm:sqref>J187</xm:sqref>
        </x14:conditionalFormatting>
        <x14:conditionalFormatting xmlns:xm="http://schemas.microsoft.com/office/excel/2006/main">
          <x14:cfRule type="expression" priority="7906" id="{585AC0E8-3FCA-4FFC-A396-98BC0BDB950F}">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7907" stopIfTrue="1" id="{5562F5A7-1CA3-49EB-A762-C54BA51E1685}">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7908" stopIfTrue="1" id="{D66B451A-925D-41D1-B7D1-01B9913D3107}">
            <xm:f>AND(IF(J188&lt;'F:\Users\norela.briceno\Documents\Plan de acción\Plan Accion 2018\[Plan Accion Integrado ADRES Vigencia 2018 con Cuadro de Mando V6..xlsx]Plan de Accion 2018'!#REF!,J188&lt;&gt;"N/A"))</xm:f>
            <x14:dxf>
              <fill>
                <patternFill>
                  <bgColor indexed="10"/>
                </patternFill>
              </fill>
            </x14:dxf>
          </x14:cfRule>
          <xm:sqref>J188</xm:sqref>
        </x14:conditionalFormatting>
        <x14:conditionalFormatting xmlns:xm="http://schemas.microsoft.com/office/excel/2006/main">
          <x14:cfRule type="expression" priority="7903" id="{89034EA8-9503-465B-8BD5-DB047D610FAE}">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7904" stopIfTrue="1" id="{6EE1873C-2283-4FC8-845D-6E5D0A2F684D}">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7905" stopIfTrue="1" id="{F273B2EF-CBCA-4A66-AFBF-33F99FEFD4F5}">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7900" id="{31681521-7FA8-48D7-9D37-C0F23410B847}">
            <xm:f>AND(IF(J194&gt;'F:\Users\norela.briceno\Documents\Plan de acción\Plan Accion 2018\[Plan Accion Integrado ADRES Vigencia 2018 con Cuadro de Mando V6..xlsx]Plan de Accion 2018'!#REF!,J194&lt;&gt;¨N/A¨))</xm:f>
            <x14:dxf>
              <fill>
                <patternFill>
                  <bgColor theme="1" tint="0.499984740745262"/>
                </patternFill>
              </fill>
            </x14:dxf>
          </x14:cfRule>
          <x14:cfRule type="expression" priority="7901" stopIfTrue="1" id="{E9CCC827-383C-4511-802B-4B925772C57D}">
            <xm:f>AND(IF(J194='F:\Users\norela.briceno\Documents\Plan de acción\Plan Accion 2018\[Plan Accion Integrado ADRES Vigencia 2018 con Cuadro de Mando V6..xlsx]Plan de Accion 2018'!#REF!,J194&lt;&gt;"N/A"))</xm:f>
            <x14:dxf>
              <fill>
                <patternFill>
                  <bgColor rgb="FF00B050"/>
                </patternFill>
              </fill>
            </x14:dxf>
          </x14:cfRule>
          <x14:cfRule type="expression" priority="7902" stopIfTrue="1" id="{2362E2D8-2DF2-4757-9E8C-13BCC5B7A434}">
            <xm:f>AND(IF(J194&lt;'F:\Users\norela.briceno\Documents\Plan de acción\Plan Accion 2018\[Plan Accion Integrado ADRES Vigencia 2018 con Cuadro de Mando V6..xlsx]Plan de Accion 2018'!#REF!,J194&lt;&gt;"N/A"))</xm:f>
            <x14:dxf>
              <fill>
                <patternFill>
                  <bgColor indexed="10"/>
                </patternFill>
              </fill>
            </x14:dxf>
          </x14:cfRule>
          <xm:sqref>J194</xm:sqref>
        </x14:conditionalFormatting>
        <x14:conditionalFormatting xmlns:xm="http://schemas.microsoft.com/office/excel/2006/main">
          <x14:cfRule type="expression" priority="7897" id="{61C4930D-CEC1-4D25-956E-2D2222D36C6E}">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7898" stopIfTrue="1" id="{71C6CCC5-439E-4378-9E0D-FED69954626A}">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7899" stopIfTrue="1" id="{2C8A8C9E-226A-49FA-9D91-1DA2EAC3D185}">
            <xm:f>AND(IF(J195&lt;'F:\Users\norela.briceno\Documents\Plan de acción\Plan Accion 2018\[Plan Accion Integrado ADRES Vigencia 2018 con Cuadro de Mando V6..xlsx]Plan de Accion 2018'!#REF!,J195&lt;&gt;"N/A"))</xm:f>
            <x14:dxf>
              <fill>
                <patternFill>
                  <bgColor indexed="10"/>
                </patternFill>
              </fill>
            </x14:dxf>
          </x14:cfRule>
          <xm:sqref>J195</xm:sqref>
        </x14:conditionalFormatting>
        <x14:conditionalFormatting xmlns:xm="http://schemas.microsoft.com/office/excel/2006/main">
          <x14:cfRule type="expression" priority="7894" id="{2F07A60A-1441-46E4-ACCB-D7E93F49A422}">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7895" stopIfTrue="1" id="{7963294B-329E-40F0-B529-6C5F1811F3CF}">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7896" stopIfTrue="1" id="{A7EA67DE-555A-46D2-BEE1-22A9F34602A5}">
            <xm:f>AND(IF(J196&lt;'F:\Users\norela.briceno\Documents\Plan de acción\Plan Accion 2018\[Plan Accion Integrado ADRES Vigencia 2018 con Cuadro de Mando V6..xlsx]Plan de Accion 2018'!#REF!,J196&lt;&gt;"N/A"))</xm:f>
            <x14:dxf>
              <fill>
                <patternFill>
                  <bgColor indexed="10"/>
                </patternFill>
              </fill>
            </x14:dxf>
          </x14:cfRule>
          <xm:sqref>J196</xm:sqref>
        </x14:conditionalFormatting>
        <x14:conditionalFormatting xmlns:xm="http://schemas.microsoft.com/office/excel/2006/main">
          <x14:cfRule type="expression" priority="7891" id="{F8BB5107-78AE-4302-B9D0-42830F2B6582}">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7892" stopIfTrue="1" id="{B3A6AFF9-3727-4624-BA89-2B435AB992B7}">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7893" stopIfTrue="1" id="{CD9C17C3-24EC-4725-A9BB-AB349F0C0762}">
            <xm:f>AND(IF(J197&lt;'F:\Users\norela.briceno\Documents\Plan de acción\Plan Accion 2018\[Plan Accion Integrado ADRES Vigencia 2018 con Cuadro de Mando V6..xlsx]Plan de Accion 2018'!#REF!,J197&lt;&gt;"N/A"))</xm:f>
            <x14:dxf>
              <fill>
                <patternFill>
                  <bgColor indexed="10"/>
                </patternFill>
              </fill>
            </x14:dxf>
          </x14:cfRule>
          <xm:sqref>J197</xm:sqref>
        </x14:conditionalFormatting>
        <x14:conditionalFormatting xmlns:xm="http://schemas.microsoft.com/office/excel/2006/main">
          <x14:cfRule type="expression" priority="7888" id="{8E826F21-DA72-4A9F-A17B-DBB11454E562}">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7889" stopIfTrue="1" id="{F352A7F7-17C8-4575-9E6D-6E1578DC4772}">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7890" stopIfTrue="1" id="{349B967F-CF0F-4A62-95BD-66D906C57C61}">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7885" id="{39502C9D-EF1F-48C9-96A7-FDD1F086A0B6}">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7886" stopIfTrue="1" id="{1B8462EA-5E6D-47F8-9A71-8EB59B52A672}">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7887" stopIfTrue="1" id="{643A4889-8D96-4350-B881-026790BF31E6}">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7882" id="{6F1977ED-7B37-45FF-9116-8D10747F2787}">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7883" stopIfTrue="1" id="{219FE516-65FA-4D65-B648-2677DB3DD86F}">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7884" stopIfTrue="1" id="{03039E84-974C-4FBE-B411-393C8C47E035}">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7879" id="{197DA50F-D505-4CDC-BCA0-B8138858C4E5}">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7880" stopIfTrue="1" id="{1AABCD6C-9DB5-4F83-B90F-2D054FB9CADC}">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7881" stopIfTrue="1" id="{9975C2BB-0747-4981-BD36-4ED2F37F268B}">
            <xm:f>AND(IF(J205&lt;'F:\Users\norela.briceno\Documents\Plan de acción\Plan Accion 2018\[Plan Accion Integrado ADRES Vigencia 2018 con Cuadro de Mando V6..xlsx]Plan de Accion 2018'!#REF!,J205&lt;&gt;"N/A"))</xm:f>
            <x14:dxf>
              <fill>
                <patternFill>
                  <bgColor indexed="10"/>
                </patternFill>
              </fill>
            </x14:dxf>
          </x14:cfRule>
          <xm:sqref>J205</xm:sqref>
        </x14:conditionalFormatting>
        <x14:conditionalFormatting xmlns:xm="http://schemas.microsoft.com/office/excel/2006/main">
          <x14:cfRule type="expression" priority="7876" id="{E0AAB5A0-2F82-4BB7-B764-0B7728C53FF5}">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7877" stopIfTrue="1" id="{CE4F85DA-A64C-4073-8507-89EBB99DB545}">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7878" stopIfTrue="1" id="{106AF316-DFDA-47EE-9CC6-B7BE0007CAB1}">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7873" id="{2A7B6AB6-354F-49DB-8A23-628393CC9E0A}">
            <xm:f>AND(IF(J209&gt;'F:\Users\norela.briceno\Documents\Plan de acción\Plan Accion 2018\[Plan Accion Integrado ADRES Vigencia 2018 con Cuadro de Mando V6..xlsx]Plan de Accion 2018'!#REF!,J209&lt;&gt;¨N/A¨))</xm:f>
            <x14:dxf>
              <fill>
                <patternFill>
                  <bgColor theme="1" tint="0.499984740745262"/>
                </patternFill>
              </fill>
            </x14:dxf>
          </x14:cfRule>
          <x14:cfRule type="expression" priority="7874" stopIfTrue="1" id="{65EC6458-41A9-4360-99E1-A6643A038EA5}">
            <xm:f>AND(IF(J209='F:\Users\norela.briceno\Documents\Plan de acción\Plan Accion 2018\[Plan Accion Integrado ADRES Vigencia 2018 con Cuadro de Mando V6..xlsx]Plan de Accion 2018'!#REF!,J209&lt;&gt;"N/A"))</xm:f>
            <x14:dxf>
              <fill>
                <patternFill>
                  <bgColor rgb="FF00B050"/>
                </patternFill>
              </fill>
            </x14:dxf>
          </x14:cfRule>
          <x14:cfRule type="expression" priority="7875" stopIfTrue="1" id="{6D49E1CE-FDBF-4FA5-B175-FB7F3CCB5805}">
            <xm:f>AND(IF(J209&lt;'F:\Users\norela.briceno\Documents\Plan de acción\Plan Accion 2018\[Plan Accion Integrado ADRES Vigencia 2018 con Cuadro de Mando V6..xlsx]Plan de Accion 2018'!#REF!,J209&lt;&gt;"N/A"))</xm:f>
            <x14:dxf>
              <fill>
                <patternFill>
                  <bgColor indexed="10"/>
                </patternFill>
              </fill>
            </x14:dxf>
          </x14:cfRule>
          <xm:sqref>J209</xm:sqref>
        </x14:conditionalFormatting>
        <x14:conditionalFormatting xmlns:xm="http://schemas.microsoft.com/office/excel/2006/main">
          <x14:cfRule type="expression" priority="7870" id="{138CA019-2CEF-4671-B34F-3C81F1751CBF}">
            <xm:f>AND(IF(J210&gt;'F:\Users\norela.briceno\Documents\Plan de acción\Plan Accion 2018\[Plan Accion Integrado ADRES Vigencia 2018 con Cuadro de Mando V6..xlsx]Plan de Accion 2018'!#REF!,J210&lt;&gt;¨N/A¨))</xm:f>
            <x14:dxf>
              <fill>
                <patternFill>
                  <bgColor theme="1" tint="0.499984740745262"/>
                </patternFill>
              </fill>
            </x14:dxf>
          </x14:cfRule>
          <x14:cfRule type="expression" priority="7871" stopIfTrue="1" id="{FFE69D8E-6CCE-4DBC-BAD6-AB971307C258}">
            <xm:f>AND(IF(J210='F:\Users\norela.briceno\Documents\Plan de acción\Plan Accion 2018\[Plan Accion Integrado ADRES Vigencia 2018 con Cuadro de Mando V6..xlsx]Plan de Accion 2018'!#REF!,J210&lt;&gt;"N/A"))</xm:f>
            <x14:dxf>
              <fill>
                <patternFill>
                  <bgColor rgb="FF00B050"/>
                </patternFill>
              </fill>
            </x14:dxf>
          </x14:cfRule>
          <x14:cfRule type="expression" priority="7872" stopIfTrue="1" id="{FAC92ABC-FB98-4AA2-8075-AB9920925051}">
            <xm:f>AND(IF(J210&lt;'F:\Users\norela.briceno\Documents\Plan de acción\Plan Accion 2018\[Plan Accion Integrado ADRES Vigencia 2018 con Cuadro de Mando V6..xlsx]Plan de Accion 2018'!#REF!,J210&lt;&gt;"N/A"))</xm:f>
            <x14:dxf>
              <fill>
                <patternFill>
                  <bgColor indexed="10"/>
                </patternFill>
              </fill>
            </x14:dxf>
          </x14:cfRule>
          <xm:sqref>J210</xm:sqref>
        </x14:conditionalFormatting>
        <x14:conditionalFormatting xmlns:xm="http://schemas.microsoft.com/office/excel/2006/main">
          <x14:cfRule type="expression" priority="7867" id="{979DFB27-AF75-40E6-93F0-62B44D17E20A}">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7868" stopIfTrue="1" id="{FFBE220F-F7F5-449B-A2AF-AAE6CC3D5CEF}">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7869" stopIfTrue="1" id="{A9731B49-2BBC-4599-BEB6-298E80D18DA1}">
            <xm:f>AND(IF(J211&lt;'F:\Users\norela.briceno\Documents\Plan de acción\Plan Accion 2018\[Plan Accion Integrado ADRES Vigencia 2018 con Cuadro de Mando V6..xlsx]Plan de Accion 2018'!#REF!,J211&lt;&gt;"N/A"))</xm:f>
            <x14:dxf>
              <fill>
                <patternFill>
                  <bgColor indexed="10"/>
                </patternFill>
              </fill>
            </x14:dxf>
          </x14:cfRule>
          <xm:sqref>J211</xm:sqref>
        </x14:conditionalFormatting>
        <x14:conditionalFormatting xmlns:xm="http://schemas.microsoft.com/office/excel/2006/main">
          <x14:cfRule type="expression" priority="7864" id="{C65E792D-2712-401D-BBE8-D5B344F0436F}">
            <xm:f>AND(IF(J212&gt;'F:\Users\norela.briceno\Documents\Plan de acción\Plan Accion 2018\[Plan Accion Integrado ADRES Vigencia 2018 con Cuadro de Mando V6..xlsx]Plan de Accion 2018'!#REF!,J212&lt;&gt;¨N/A¨))</xm:f>
            <x14:dxf>
              <fill>
                <patternFill>
                  <bgColor theme="1" tint="0.499984740745262"/>
                </patternFill>
              </fill>
            </x14:dxf>
          </x14:cfRule>
          <x14:cfRule type="expression" priority="7865" stopIfTrue="1" id="{15B46276-9295-4AC8-8B42-7080D2A8F5B3}">
            <xm:f>AND(IF(J212='F:\Users\norela.briceno\Documents\Plan de acción\Plan Accion 2018\[Plan Accion Integrado ADRES Vigencia 2018 con Cuadro de Mando V6..xlsx]Plan de Accion 2018'!#REF!,J212&lt;&gt;"N/A"))</xm:f>
            <x14:dxf>
              <fill>
                <patternFill>
                  <bgColor rgb="FF00B050"/>
                </patternFill>
              </fill>
            </x14:dxf>
          </x14:cfRule>
          <x14:cfRule type="expression" priority="7866" stopIfTrue="1" id="{A9561DCB-FEA6-4539-84BE-B0D7F8E30BFE}">
            <xm:f>AND(IF(J212&lt;'F:\Users\norela.briceno\Documents\Plan de acción\Plan Accion 2018\[Plan Accion Integrado ADRES Vigencia 2018 con Cuadro de Mando V6..xlsx]Plan de Accion 2018'!#REF!,J212&lt;&gt;"N/A"))</xm:f>
            <x14:dxf>
              <fill>
                <patternFill>
                  <bgColor indexed="10"/>
                </patternFill>
              </fill>
            </x14:dxf>
          </x14:cfRule>
          <xm:sqref>J212</xm:sqref>
        </x14:conditionalFormatting>
        <x14:conditionalFormatting xmlns:xm="http://schemas.microsoft.com/office/excel/2006/main">
          <x14:cfRule type="expression" priority="7861" id="{39F1CF10-5A8F-440D-91F6-3290D3A0B224}">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7862" stopIfTrue="1" id="{F71DAD0A-897A-430E-BBE2-B38278145FDF}">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7863" stopIfTrue="1" id="{D04DDA5A-B1A4-422B-B0DC-5CC7D72D49F3}">
            <xm:f>AND(IF(J231&lt;'F:\Users\norela.briceno\Documents\Plan de acción\Plan Accion 2018\[Plan Accion Integrado ADRES Vigencia 2018 con Cuadro de Mando V6..xlsx]Plan de Accion 2018'!#REF!,J231&lt;&gt;"N/A"))</xm:f>
            <x14:dxf>
              <fill>
                <patternFill>
                  <bgColor indexed="10"/>
                </patternFill>
              </fill>
            </x14:dxf>
          </x14:cfRule>
          <xm:sqref>J231</xm:sqref>
        </x14:conditionalFormatting>
        <x14:conditionalFormatting xmlns:xm="http://schemas.microsoft.com/office/excel/2006/main">
          <x14:cfRule type="expression" priority="7858" id="{DBEAA618-1773-4C62-8BE2-19D72AC3F269}">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7859" stopIfTrue="1" id="{B49D378F-AC14-4594-A9F8-F9D261B6EBFB}">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7860" stopIfTrue="1" id="{41C2620C-D636-43AF-B121-0344CA4C0BC0}">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7855" id="{F997B86A-519D-495F-ABDF-BEBE1E0520F9}">
            <xm:f>AND(IF(J233&gt;'F:\Users\norela.briceno\Documents\Plan de acción\Plan Accion 2018\[Plan Accion Integrado ADRES Vigencia 2018 con Cuadro de Mando V6..xlsx]Plan de Accion 2018'!#REF!,J233&lt;&gt;¨N/A¨))</xm:f>
            <x14:dxf>
              <fill>
                <patternFill>
                  <bgColor theme="1" tint="0.499984740745262"/>
                </patternFill>
              </fill>
            </x14:dxf>
          </x14:cfRule>
          <x14:cfRule type="expression" priority="7856" stopIfTrue="1" id="{5C2BC65D-B257-47BE-9803-77670A437F6F}">
            <xm:f>AND(IF(J233='F:\Users\norela.briceno\Documents\Plan de acción\Plan Accion 2018\[Plan Accion Integrado ADRES Vigencia 2018 con Cuadro de Mando V6..xlsx]Plan de Accion 2018'!#REF!,J233&lt;&gt;"N/A"))</xm:f>
            <x14:dxf>
              <fill>
                <patternFill>
                  <bgColor rgb="FF00B050"/>
                </patternFill>
              </fill>
            </x14:dxf>
          </x14:cfRule>
          <x14:cfRule type="expression" priority="7857" stopIfTrue="1" id="{92D0DA70-6A87-4C2A-8062-C95A5E52EAF1}">
            <xm:f>AND(IF(J233&lt;'F:\Users\norela.briceno\Documents\Plan de acción\Plan Accion 2018\[Plan Accion Integrado ADRES Vigencia 2018 con Cuadro de Mando V6..xlsx]Plan de Accion 2018'!#REF!,J233&lt;&gt;"N/A"))</xm:f>
            <x14:dxf>
              <fill>
                <patternFill>
                  <bgColor indexed="10"/>
                </patternFill>
              </fill>
            </x14:dxf>
          </x14:cfRule>
          <xm:sqref>J233</xm:sqref>
        </x14:conditionalFormatting>
        <x14:conditionalFormatting xmlns:xm="http://schemas.microsoft.com/office/excel/2006/main">
          <x14:cfRule type="expression" priority="7852" id="{0D707EFA-B2BC-4CC3-93FF-A8BE909B3524}">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7853" stopIfTrue="1" id="{9492EA1D-F891-40D9-A96D-91ABCCDC7316}">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7854" stopIfTrue="1" id="{2B672A2E-EDA9-406D-99BF-DD197A7A926C}">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7849" id="{41E18522-7898-48C9-B65D-F7DF058DBF1F}">
            <xm:f>AND(IF(J239&gt;'F:\Users\norela.briceno\Documents\Plan de acción\Plan Accion 2018\[Plan Accion Integrado ADRES Vigencia 2018 con Cuadro de Mando V6..xlsx]Plan de Accion 2018'!#REF!,J239&lt;&gt;¨N/A¨))</xm:f>
            <x14:dxf>
              <fill>
                <patternFill>
                  <bgColor theme="1" tint="0.499984740745262"/>
                </patternFill>
              </fill>
            </x14:dxf>
          </x14:cfRule>
          <x14:cfRule type="expression" priority="7850" stopIfTrue="1" id="{50EBA678-84F9-4C48-8ED8-671B8A2CD461}">
            <xm:f>AND(IF(J239='F:\Users\norela.briceno\Documents\Plan de acción\Plan Accion 2018\[Plan Accion Integrado ADRES Vigencia 2018 con Cuadro de Mando V6..xlsx]Plan de Accion 2018'!#REF!,J239&lt;&gt;"N/A"))</xm:f>
            <x14:dxf>
              <fill>
                <patternFill>
                  <bgColor rgb="FF00B050"/>
                </patternFill>
              </fill>
            </x14:dxf>
          </x14:cfRule>
          <x14:cfRule type="expression" priority="7851" stopIfTrue="1" id="{8F9BFEC4-CC3A-4ECE-8AB8-553C8F3A98E4}">
            <xm:f>AND(IF(J239&lt;'F:\Users\norela.briceno\Documents\Plan de acción\Plan Accion 2018\[Plan Accion Integrado ADRES Vigencia 2018 con Cuadro de Mando V6..xlsx]Plan de Accion 2018'!#REF!,J239&lt;&gt;"N/A"))</xm:f>
            <x14:dxf>
              <fill>
                <patternFill>
                  <bgColor indexed="10"/>
                </patternFill>
              </fill>
            </x14:dxf>
          </x14:cfRule>
          <xm:sqref>J239</xm:sqref>
        </x14:conditionalFormatting>
        <x14:conditionalFormatting xmlns:xm="http://schemas.microsoft.com/office/excel/2006/main">
          <x14:cfRule type="expression" priority="7846" id="{34813F26-FB04-4524-A933-CA1F1135CD8E}">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7847" stopIfTrue="1" id="{5C4ED222-39FA-4032-81CA-6ED702CFC5E6}">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7848" stopIfTrue="1" id="{576C9731-46DF-4B0F-86D7-69AB639BAB39}">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7843" id="{E2275562-AABF-40D3-9902-4731CA7EA93A}">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7844" stopIfTrue="1" id="{45642891-474F-42FC-A555-AF2E5E802DFE}">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7845" stopIfTrue="1" id="{331F4288-4372-4B3A-9B80-6915FBEFAC1B}">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7840" id="{1D828B23-1D32-4506-BBB3-55D11E7E2AAB}">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7841" stopIfTrue="1" id="{F2C5F9F2-B19F-42FF-AAC6-E9DA83EAFF8C}">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7842" stopIfTrue="1" id="{CD804F8A-948A-4C9C-818E-1D8D23C77F88}">
            <xm:f>AND(IF(J245&lt;'F:\Users\norela.briceno\Documents\Plan de acción\Plan Accion 2018\[Plan Accion Integrado ADRES Vigencia 2018 con Cuadro de Mando V6..xlsx]Plan de Accion 2018'!#REF!,J245&lt;&gt;"N/A"))</xm:f>
            <x14:dxf>
              <fill>
                <patternFill>
                  <bgColor indexed="10"/>
                </patternFill>
              </fill>
            </x14:dxf>
          </x14:cfRule>
          <xm:sqref>J245</xm:sqref>
        </x14:conditionalFormatting>
        <x14:conditionalFormatting xmlns:xm="http://schemas.microsoft.com/office/excel/2006/main">
          <x14:cfRule type="expression" priority="7837" id="{CB50322A-4A11-49DA-858A-DB3867A4B860}">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7838" stopIfTrue="1" id="{9BB68865-4570-4BB6-8660-AC0571D7ACD9}">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7839" stopIfTrue="1" id="{2F81707A-F2E9-4FBD-AFBE-4D7DDCA922E7}">
            <xm:f>AND(IF(J246&lt;'F:\Users\norela.briceno\Documents\Plan de acción\Plan Accion 2018\[Plan Accion Integrado ADRES Vigencia 2018 con Cuadro de Mando V6..xlsx]Plan de Accion 2018'!#REF!,J246&lt;&gt;"N/A"))</xm:f>
            <x14:dxf>
              <fill>
                <patternFill>
                  <bgColor indexed="10"/>
                </patternFill>
              </fill>
            </x14:dxf>
          </x14:cfRule>
          <xm:sqref>J246</xm:sqref>
        </x14:conditionalFormatting>
        <x14:conditionalFormatting xmlns:xm="http://schemas.microsoft.com/office/excel/2006/main">
          <x14:cfRule type="expression" priority="7834" id="{D3B0D04B-FB0E-4025-9C62-BF3E30B17678}">
            <xm:f>AND(IF(J247&gt;'F:\Users\norela.briceno\Documents\Plan de acción\Plan Accion 2018\[Plan Accion Integrado ADRES Vigencia 2018 con Cuadro de Mando V6..xlsx]Plan de Accion 2018'!#REF!,J247&lt;&gt;¨N/A¨))</xm:f>
            <x14:dxf>
              <fill>
                <patternFill>
                  <bgColor theme="1" tint="0.499984740745262"/>
                </patternFill>
              </fill>
            </x14:dxf>
          </x14:cfRule>
          <x14:cfRule type="expression" priority="7835" stopIfTrue="1" id="{86FA60B1-113E-4B7D-B701-2397BD506929}">
            <xm:f>AND(IF(J247='F:\Users\norela.briceno\Documents\Plan de acción\Plan Accion 2018\[Plan Accion Integrado ADRES Vigencia 2018 con Cuadro de Mando V6..xlsx]Plan de Accion 2018'!#REF!,J247&lt;&gt;"N/A"))</xm:f>
            <x14:dxf>
              <fill>
                <patternFill>
                  <bgColor rgb="FF00B050"/>
                </patternFill>
              </fill>
            </x14:dxf>
          </x14:cfRule>
          <x14:cfRule type="expression" priority="7836" stopIfTrue="1" id="{0ACD61CE-4F05-45D0-9711-9770F76395C1}">
            <xm:f>AND(IF(J247&lt;'F:\Users\norela.briceno\Documents\Plan de acción\Plan Accion 2018\[Plan Accion Integrado ADRES Vigencia 2018 con Cuadro de Mando V6..xlsx]Plan de Accion 2018'!#REF!,J247&lt;&gt;"N/A"))</xm:f>
            <x14:dxf>
              <fill>
                <patternFill>
                  <bgColor indexed="10"/>
                </patternFill>
              </fill>
            </x14:dxf>
          </x14:cfRule>
          <xm:sqref>J247</xm:sqref>
        </x14:conditionalFormatting>
        <x14:conditionalFormatting xmlns:xm="http://schemas.microsoft.com/office/excel/2006/main">
          <x14:cfRule type="expression" priority="7831" id="{8D9EBFED-9FA4-4B63-8D41-2D3BD932912A}">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7832" stopIfTrue="1" id="{EEC3DE9F-3661-401F-9F57-6E602B4A4442}">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7833" stopIfTrue="1" id="{A7407ADC-BA22-480D-AD87-8605E92622F0}">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7828" id="{81706C31-A53A-4CE3-991D-5AE23B7F42AD}">
            <xm:f>AND(IF(J357&gt;'F:\Users\norela.briceno\Documents\Plan de acción\Plan Accion 2018\[Plan Accion Integrado ADRES Vigencia 2018 con Cuadro de Mando V6..xlsx]Plan de Accion 2018'!#REF!,J357&lt;&gt;¨N/A¨))</xm:f>
            <x14:dxf>
              <fill>
                <patternFill>
                  <bgColor theme="1" tint="0.499984740745262"/>
                </patternFill>
              </fill>
            </x14:dxf>
          </x14:cfRule>
          <x14:cfRule type="expression" priority="7829" stopIfTrue="1" id="{E62D2079-1CED-45B3-A863-2160AF97BF3F}">
            <xm:f>AND(IF(J357='F:\Users\norela.briceno\Documents\Plan de acción\Plan Accion 2018\[Plan Accion Integrado ADRES Vigencia 2018 con Cuadro de Mando V6..xlsx]Plan de Accion 2018'!#REF!,J357&lt;&gt;"N/A"))</xm:f>
            <x14:dxf>
              <fill>
                <patternFill>
                  <bgColor rgb="FF00B050"/>
                </patternFill>
              </fill>
            </x14:dxf>
          </x14:cfRule>
          <x14:cfRule type="expression" priority="7830" stopIfTrue="1" id="{AB84716A-C9EC-4857-943D-59C25E981F51}">
            <xm:f>AND(IF(J357&lt;'F:\Users\norela.briceno\Documents\Plan de acción\Plan Accion 2018\[Plan Accion Integrado ADRES Vigencia 2018 con Cuadro de Mando V6..xlsx]Plan de Accion 2018'!#REF!,J357&lt;&gt;"N/A"))</xm:f>
            <x14:dxf>
              <fill>
                <patternFill>
                  <bgColor indexed="10"/>
                </patternFill>
              </fill>
            </x14:dxf>
          </x14:cfRule>
          <xm:sqref>J357</xm:sqref>
        </x14:conditionalFormatting>
        <x14:conditionalFormatting xmlns:xm="http://schemas.microsoft.com/office/excel/2006/main">
          <x14:cfRule type="expression" priority="7825" id="{1A4208E5-5855-474D-9716-897FB7383D36}">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7826" stopIfTrue="1" id="{5FB49E7B-CEC0-4B0E-8F87-4EC47CAB7A0B}">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7827" stopIfTrue="1" id="{0530597E-29F2-4B29-8C0E-630B8B025BFC}">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7822" id="{A9420F15-3C15-4124-A55F-35E7EF0938D1}">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7823" stopIfTrue="1" id="{67B5CFFB-7D11-472C-9099-E98FC4760406}">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7824" stopIfTrue="1" id="{BC861CDF-5CE9-46F0-B12B-E534B7903C15}">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7819" id="{17FD2878-DF22-4026-BC98-82D98C77EA30}">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7820" stopIfTrue="1" id="{BD37D703-C499-4DC4-ADAC-5EBEC86A8D02}">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7821" stopIfTrue="1" id="{DFA30E7E-B8F9-4CEA-AE5D-3D82896940DC}">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7816" id="{9441A0A4-E5E8-4D67-8995-2AEE8D664D9B}">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7817" stopIfTrue="1" id="{4A5A310D-0AAF-4693-BE58-2C2E01DD6EFA}">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7818" stopIfTrue="1" id="{9C628271-89B6-4097-951A-0CD5D64670C4}">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7813" id="{C0FD86B9-F015-4F10-89CE-B17CFC49794C}">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7814" stopIfTrue="1" id="{DD7434A2-9D7D-49FA-AAE8-7B28682F9EFD}">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7815" stopIfTrue="1" id="{953E6739-4754-4C24-83F6-0059B81D32FC}">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7810" id="{F9A7DD9F-6676-49C8-A9F5-E3EC28A03A9A}">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7811" stopIfTrue="1" id="{A70A37DE-896E-457F-BCE7-D4B2AD352FD4}">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7812" stopIfTrue="1" id="{5592FFBC-E8DF-4926-A053-7EA5BCCCD0F1}">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7807" id="{D56712E0-1194-428C-8375-4A43669D3AB8}">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7808" stopIfTrue="1" id="{8D908BA7-7A8E-4F0E-976B-FB8F0B83A859}">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7809" stopIfTrue="1" id="{78D03A0A-70FB-4449-8ACB-01F448534DC4}">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7804" id="{7B85CDDD-1626-48DD-B9CC-E083202030E5}">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7805" stopIfTrue="1" id="{2030EAFF-E54C-4460-BD0F-BCB138C2441D}">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7806" stopIfTrue="1" id="{8FCD5CE0-7ED4-4E58-8666-39B39C0D50E4}">
            <xm:f>AND(IF(J257&lt;'F:\Users\norela.briceno\Documents\Plan de acción\Plan Accion 2018\[Plan Accion Integrado ADRES Vigencia 2018 con Cuadro de Mando V6..xlsx]Plan de Accion 2018'!#REF!,J257&lt;&gt;"N/A"))</xm:f>
            <x14:dxf>
              <fill>
                <patternFill>
                  <bgColor indexed="10"/>
                </patternFill>
              </fill>
            </x14:dxf>
          </x14:cfRule>
          <xm:sqref>J257</xm:sqref>
        </x14:conditionalFormatting>
        <x14:conditionalFormatting xmlns:xm="http://schemas.microsoft.com/office/excel/2006/main">
          <x14:cfRule type="expression" priority="7801" id="{DA497230-0898-42A5-B1BD-8EA82D090FAC}">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7802" stopIfTrue="1" id="{0E813B68-C788-483A-BEE6-7A6EE7F9AA86}">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7803" stopIfTrue="1" id="{5598539D-1E3B-4868-B91B-5D27574053D0}">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7798" id="{DEDB9490-59A3-466F-BB30-1B022272E17F}">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7799" stopIfTrue="1" id="{6A60F988-57FB-4D8C-9F39-699A5FC72284}">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7800" stopIfTrue="1" id="{EA68719C-6496-486E-ADD2-3084E1D36350}">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7795" id="{30D2EC8F-93B3-4711-9800-B2591F7CA8FC}">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7796" stopIfTrue="1" id="{E578E15E-6C73-4852-BB7B-15F724DAF12E}">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7797" stopIfTrue="1" id="{B82FFC9C-05DF-4FBF-B0E4-94290BC76F2A}">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7792" id="{916B5BE0-5CBE-48DB-BF14-1AD68AB5A199}">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7793" stopIfTrue="1" id="{E62A80F2-AE5C-44F4-883E-A336DB96FDFC}">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7794" stopIfTrue="1" id="{F0A015BB-AF2B-4BF5-A4F5-D5B7827B4AC6}">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7789" id="{3B5659D7-B4EC-408F-8603-E8CEA67EEDA1}">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7790" stopIfTrue="1" id="{47BFF0C0-3551-4822-8BA3-E3AA353BAF85}">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7791" stopIfTrue="1" id="{BA5C5CEC-0D89-4591-BA47-4A43B23DCA08}">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7786" id="{469C406D-7DE1-4B92-8043-E9F2CE31B17F}">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7787" stopIfTrue="1" id="{F5DE0DE2-8258-48CE-BF4D-1BA49D80CF24}">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7788" stopIfTrue="1" id="{27E2444D-421E-400B-9C4E-47B622FDF673}">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7783" id="{AF9CCC4E-6EB5-4710-9ED8-53C809C0C45B}">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7784" stopIfTrue="1" id="{01B4E8E2-1DC0-4AA3-8628-6B59E291B658}">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7785" stopIfTrue="1" id="{E5E6EADD-220E-4866-B94F-B947D55CB883}">
            <xm:f>AND(IF(J264&lt;'F:\Users\norela.briceno\Documents\Plan de acción\Plan Accion 2018\[Plan Accion Integrado ADRES Vigencia 2018 con Cuadro de Mando V6..xlsx]Plan de Accion 2018'!#REF!,J264&lt;&gt;"N/A"))</xm:f>
            <x14:dxf>
              <fill>
                <patternFill>
                  <bgColor indexed="10"/>
                </patternFill>
              </fill>
            </x14:dxf>
          </x14:cfRule>
          <xm:sqref>J264</xm:sqref>
        </x14:conditionalFormatting>
        <x14:conditionalFormatting xmlns:xm="http://schemas.microsoft.com/office/excel/2006/main">
          <x14:cfRule type="expression" priority="7780" id="{C9F3B508-7420-46CE-A11B-1686808F1604}">
            <xm:f>AND(IF(J265&gt;'F:\Users\norela.briceno\Documents\Plan de acción\Plan Accion 2018\[Plan Accion Integrado ADRES Vigencia 2018 con Cuadro de Mando V6..xlsx]Plan de Accion 2018'!#REF!,J265&lt;&gt;¨N/A¨))</xm:f>
            <x14:dxf>
              <fill>
                <patternFill>
                  <bgColor theme="1" tint="0.499984740745262"/>
                </patternFill>
              </fill>
            </x14:dxf>
          </x14:cfRule>
          <x14:cfRule type="expression" priority="7781" stopIfTrue="1" id="{DEF2D6CE-84F5-401E-A394-086EDF5F9A79}">
            <xm:f>AND(IF(J265='F:\Users\norela.briceno\Documents\Plan de acción\Plan Accion 2018\[Plan Accion Integrado ADRES Vigencia 2018 con Cuadro de Mando V6..xlsx]Plan de Accion 2018'!#REF!,J265&lt;&gt;"N/A"))</xm:f>
            <x14:dxf>
              <fill>
                <patternFill>
                  <bgColor rgb="FF00B050"/>
                </patternFill>
              </fill>
            </x14:dxf>
          </x14:cfRule>
          <x14:cfRule type="expression" priority="7782" stopIfTrue="1" id="{02747EF4-3A35-4230-A50B-854A5CCD518C}">
            <xm:f>AND(IF(J265&lt;'F:\Users\norela.briceno\Documents\Plan de acción\Plan Accion 2018\[Plan Accion Integrado ADRES Vigencia 2018 con Cuadro de Mando V6..xlsx]Plan de Accion 2018'!#REF!,J265&lt;&gt;"N/A"))</xm:f>
            <x14:dxf>
              <fill>
                <patternFill>
                  <bgColor indexed="10"/>
                </patternFill>
              </fill>
            </x14:dxf>
          </x14:cfRule>
          <xm:sqref>J265</xm:sqref>
        </x14:conditionalFormatting>
        <x14:conditionalFormatting xmlns:xm="http://schemas.microsoft.com/office/excel/2006/main">
          <x14:cfRule type="expression" priority="7777" id="{AE6477D4-D3CD-461A-B514-64CD3750A5ED}">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7778" stopIfTrue="1" id="{9255856F-1A7C-4F9A-978A-6E2CA446AD2F}">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7779" stopIfTrue="1" id="{CDF15479-B32D-4D15-B43C-4E9A6FA82A12}">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7774" id="{CE505545-C23C-4DCF-8B4B-259AFB259AC2}">
            <xm:f>AND(IF(J267&gt;'F:\Users\norela.briceno\Documents\Plan de acción\Plan Accion 2018\[Plan Accion Integrado ADRES Vigencia 2018 con Cuadro de Mando V6..xlsx]Plan de Accion 2018'!#REF!,J267&lt;&gt;¨N/A¨))</xm:f>
            <x14:dxf>
              <fill>
                <patternFill>
                  <bgColor theme="1" tint="0.499984740745262"/>
                </patternFill>
              </fill>
            </x14:dxf>
          </x14:cfRule>
          <x14:cfRule type="expression" priority="7775" stopIfTrue="1" id="{56869BCA-3CE8-4794-A283-C7CE2B831986}">
            <xm:f>AND(IF(J267='F:\Users\norela.briceno\Documents\Plan de acción\Plan Accion 2018\[Plan Accion Integrado ADRES Vigencia 2018 con Cuadro de Mando V6..xlsx]Plan de Accion 2018'!#REF!,J267&lt;&gt;"N/A"))</xm:f>
            <x14:dxf>
              <fill>
                <patternFill>
                  <bgColor rgb="FF00B050"/>
                </patternFill>
              </fill>
            </x14:dxf>
          </x14:cfRule>
          <x14:cfRule type="expression" priority="7776" stopIfTrue="1" id="{E6D5F020-CB7B-4396-AC07-96EA927F21D9}">
            <xm:f>AND(IF(J267&lt;'F:\Users\norela.briceno\Documents\Plan de acción\Plan Accion 2018\[Plan Accion Integrado ADRES Vigencia 2018 con Cuadro de Mando V6..xlsx]Plan de Accion 2018'!#REF!,J267&lt;&gt;"N/A"))</xm:f>
            <x14:dxf>
              <fill>
                <patternFill>
                  <bgColor indexed="10"/>
                </patternFill>
              </fill>
            </x14:dxf>
          </x14:cfRule>
          <xm:sqref>J267</xm:sqref>
        </x14:conditionalFormatting>
        <x14:conditionalFormatting xmlns:xm="http://schemas.microsoft.com/office/excel/2006/main">
          <x14:cfRule type="expression" priority="7771" id="{90C69A9C-99E6-4AB4-9A6B-3EB3B0CDCD96}">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7772" stopIfTrue="1" id="{29E5DDAA-3702-43CA-AA4E-B7CF410F6AA6}">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7773" stopIfTrue="1" id="{B1DF796E-151D-4A3C-B8EE-74DA39C7013B}">
            <xm:f>AND(IF(J268&lt;'F:\Users\norela.briceno\Documents\Plan de acción\Plan Accion 2018\[Plan Accion Integrado ADRES Vigencia 2018 con Cuadro de Mando V6..xlsx]Plan de Accion 2018'!#REF!,J268&lt;&gt;"N/A"))</xm:f>
            <x14:dxf>
              <fill>
                <patternFill>
                  <bgColor indexed="10"/>
                </patternFill>
              </fill>
            </x14:dxf>
          </x14:cfRule>
          <xm:sqref>J268</xm:sqref>
        </x14:conditionalFormatting>
        <x14:conditionalFormatting xmlns:xm="http://schemas.microsoft.com/office/excel/2006/main">
          <x14:cfRule type="expression" priority="7768" id="{67589A60-7782-4F05-AA82-A2F972B1A3C3}">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7769" stopIfTrue="1" id="{4CBC3888-B667-433E-884A-43A4EBF4902D}">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7770" stopIfTrue="1" id="{F20323A2-F5F7-4D79-BD9B-4A5D3EC27764}">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7765" id="{B84F9418-5BCF-493F-8053-4D3A4ACF46A0}">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7766" stopIfTrue="1" id="{BEB1B3C7-6C88-4459-B42C-5FA726017412}">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7767" stopIfTrue="1" id="{2FF3C135-14D1-4ACF-B399-92632EEFB475}">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7762" id="{9C688606-CD5D-48BB-880B-66B928F18B49}">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7763" stopIfTrue="1" id="{64B70E19-A765-4032-BE75-1FA45E0EFF3E}">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7764" stopIfTrue="1" id="{188109D9-B981-47E1-8AAD-909B8E63AA6D}">
            <xm:f>AND(IF(J271&lt;'F:\Users\norela.briceno\Documents\Plan de acción\Plan Accion 2018\[Plan Accion Integrado ADRES Vigencia 2018 con Cuadro de Mando V6..xlsx]Plan de Accion 2018'!#REF!,J271&lt;&gt;"N/A"))</xm:f>
            <x14:dxf>
              <fill>
                <patternFill>
                  <bgColor indexed="10"/>
                </patternFill>
              </fill>
            </x14:dxf>
          </x14:cfRule>
          <xm:sqref>J271</xm:sqref>
        </x14:conditionalFormatting>
        <x14:conditionalFormatting xmlns:xm="http://schemas.microsoft.com/office/excel/2006/main">
          <x14:cfRule type="expression" priority="7759" id="{9F5EE8F4-FC28-47A8-8482-4997AC65ED34}">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7760" stopIfTrue="1" id="{A92BB7D0-F39E-4BD0-A1C7-85744AB29FAA}">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7761" stopIfTrue="1" id="{060DD374-5211-4FBE-9B3C-A23C070E78B0}">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7756" id="{1593C6F7-E994-46A1-A1EF-4A0313B0E9A0}">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7757" stopIfTrue="1" id="{FCB10AB0-F910-446D-B70F-1F967694F782}">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7758" stopIfTrue="1" id="{3FFC2C06-ECB7-4D61-B691-D8DBEEBC8099}">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7753" id="{E056709A-D5F8-45F6-B1E6-B87832641282}">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7754" stopIfTrue="1" id="{B0CFB115-C5A6-4FEB-80DE-5E732DB2F8FD}">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7755" stopIfTrue="1" id="{2D60FC41-5739-4E32-8014-820929694D97}">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7750" id="{3C99D43F-2CD5-4CE1-B2C9-F1FAFA73C94E}">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7751" stopIfTrue="1" id="{DB498A92-3717-442E-AD38-DBE54FA9D377}">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7752" stopIfTrue="1" id="{A8440A1A-BFC0-4537-B611-C307A7165262}">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7747" id="{99F0C221-52DC-43E1-9129-EA0A77468721}">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7748" stopIfTrue="1" id="{6AA031C8-AE1E-4946-A925-D4CA84785F4E}">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7749" stopIfTrue="1" id="{BFBA9072-EED1-4F50-9D0D-EDF3C3B1964D}">
            <xm:f>AND(IF(J276&lt;'F:\Users\norela.briceno\Documents\Plan de acción\Plan Accion 2018\[Plan Accion Integrado ADRES Vigencia 2018 con Cuadro de Mando V6..xlsx]Plan de Accion 2018'!#REF!,J276&lt;&gt;"N/A"))</xm:f>
            <x14:dxf>
              <fill>
                <patternFill>
                  <bgColor indexed="10"/>
                </patternFill>
              </fill>
            </x14:dxf>
          </x14:cfRule>
          <xm:sqref>J276</xm:sqref>
        </x14:conditionalFormatting>
        <x14:conditionalFormatting xmlns:xm="http://schemas.microsoft.com/office/excel/2006/main">
          <x14:cfRule type="expression" priority="7744" id="{B9ACFE06-25AA-4292-98E7-7B3AE817864A}">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7745" stopIfTrue="1" id="{C4636EBA-F204-4884-89CA-77C254DC7AB5}">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7746" stopIfTrue="1" id="{D67DE9B2-4E2E-4480-B4C4-0EE884319626}">
            <xm:f>AND(IF(J277&lt;'F:\Users\norela.briceno\Documents\Plan de acción\Plan Accion 2018\[Plan Accion Integrado ADRES Vigencia 2018 con Cuadro de Mando V6..xlsx]Plan de Accion 2018'!#REF!,J277&lt;&gt;"N/A"))</xm:f>
            <x14:dxf>
              <fill>
                <patternFill>
                  <bgColor indexed="10"/>
                </patternFill>
              </fill>
            </x14:dxf>
          </x14:cfRule>
          <xm:sqref>J277</xm:sqref>
        </x14:conditionalFormatting>
        <x14:conditionalFormatting xmlns:xm="http://schemas.microsoft.com/office/excel/2006/main">
          <x14:cfRule type="expression" priority="7741" id="{AAC4CA1D-C5AF-4C3A-B596-3571F967E6F8}">
            <xm:f>AND(IF(J284&gt;'F:\Users\norela.briceno\Documents\Plan de acción\Plan Accion 2018\[Plan Accion Integrado ADRES Vigencia 2018 con Cuadro de Mando V6..xlsx]Plan de Accion 2018'!#REF!,J284&lt;&gt;¨N/A¨))</xm:f>
            <x14:dxf>
              <fill>
                <patternFill>
                  <bgColor theme="1" tint="0.499984740745262"/>
                </patternFill>
              </fill>
            </x14:dxf>
          </x14:cfRule>
          <x14:cfRule type="expression" priority="7742" stopIfTrue="1" id="{60FD7488-1822-4571-9237-8B1FDF8B6DD0}">
            <xm:f>AND(IF(J284='F:\Users\norela.briceno\Documents\Plan de acción\Plan Accion 2018\[Plan Accion Integrado ADRES Vigencia 2018 con Cuadro de Mando V6..xlsx]Plan de Accion 2018'!#REF!,J284&lt;&gt;"N/A"))</xm:f>
            <x14:dxf>
              <fill>
                <patternFill>
                  <bgColor rgb="FF00B050"/>
                </patternFill>
              </fill>
            </x14:dxf>
          </x14:cfRule>
          <x14:cfRule type="expression" priority="7743" stopIfTrue="1" id="{E9BBB826-DEB8-45FE-84B1-9EA219F72A0B}">
            <xm:f>AND(IF(J284&lt;'F:\Users\norela.briceno\Documents\Plan de acción\Plan Accion 2018\[Plan Accion Integrado ADRES Vigencia 2018 con Cuadro de Mando V6..xlsx]Plan de Accion 2018'!#REF!,J284&lt;&gt;"N/A"))</xm:f>
            <x14:dxf>
              <fill>
                <patternFill>
                  <bgColor indexed="10"/>
                </patternFill>
              </fill>
            </x14:dxf>
          </x14:cfRule>
          <xm:sqref>J284</xm:sqref>
        </x14:conditionalFormatting>
        <x14:conditionalFormatting xmlns:xm="http://schemas.microsoft.com/office/excel/2006/main">
          <x14:cfRule type="expression" priority="7738" id="{E9D55E9F-C571-4574-8A6C-4104ED7FDE7D}">
            <xm:f>AND(IF(J287&gt;'F:\Users\norela.briceno\Documents\Plan de acción\Plan Accion 2018\[Plan Accion Integrado ADRES Vigencia 2018 con Cuadro de Mando V6..xlsx]Plan de Accion 2018'!#REF!,J287&lt;&gt;¨N/A¨))</xm:f>
            <x14:dxf>
              <fill>
                <patternFill>
                  <bgColor theme="1" tint="0.499984740745262"/>
                </patternFill>
              </fill>
            </x14:dxf>
          </x14:cfRule>
          <x14:cfRule type="expression" priority="7739" stopIfTrue="1" id="{955C5D15-BEFF-4E13-9D69-F7F7CADE59C8}">
            <xm:f>AND(IF(J287='F:\Users\norela.briceno\Documents\Plan de acción\Plan Accion 2018\[Plan Accion Integrado ADRES Vigencia 2018 con Cuadro de Mando V6..xlsx]Plan de Accion 2018'!#REF!,J287&lt;&gt;"N/A"))</xm:f>
            <x14:dxf>
              <fill>
                <patternFill>
                  <bgColor rgb="FF00B050"/>
                </patternFill>
              </fill>
            </x14:dxf>
          </x14:cfRule>
          <x14:cfRule type="expression" priority="7740" stopIfTrue="1" id="{54E80E88-4429-4ECA-BD01-E8A4720927BC}">
            <xm:f>AND(IF(J287&lt;'F:\Users\norela.briceno\Documents\Plan de acción\Plan Accion 2018\[Plan Accion Integrado ADRES Vigencia 2018 con Cuadro de Mando V6..xlsx]Plan de Accion 2018'!#REF!,J287&lt;&gt;"N/A"))</xm:f>
            <x14:dxf>
              <fill>
                <patternFill>
                  <bgColor indexed="10"/>
                </patternFill>
              </fill>
            </x14:dxf>
          </x14:cfRule>
          <xm:sqref>J287</xm:sqref>
        </x14:conditionalFormatting>
        <x14:conditionalFormatting xmlns:xm="http://schemas.microsoft.com/office/excel/2006/main">
          <x14:cfRule type="expression" priority="7735" id="{73CB2D0B-E773-4E5F-8E41-368487C67B62}">
            <xm:f>AND(IF(J288&gt;'F:\Users\norela.briceno\Documents\Plan de acción\Plan Accion 2018\[Plan Accion Integrado ADRES Vigencia 2018 con Cuadro de Mando V6..xlsx]Plan de Accion 2018'!#REF!,J288&lt;&gt;¨N/A¨))</xm:f>
            <x14:dxf>
              <fill>
                <patternFill>
                  <bgColor theme="1" tint="0.499984740745262"/>
                </patternFill>
              </fill>
            </x14:dxf>
          </x14:cfRule>
          <x14:cfRule type="expression" priority="7736" stopIfTrue="1" id="{2893BB84-031E-4940-9916-3B08D27AFB5A}">
            <xm:f>AND(IF(J288='F:\Users\norela.briceno\Documents\Plan de acción\Plan Accion 2018\[Plan Accion Integrado ADRES Vigencia 2018 con Cuadro de Mando V6..xlsx]Plan de Accion 2018'!#REF!,J288&lt;&gt;"N/A"))</xm:f>
            <x14:dxf>
              <fill>
                <patternFill>
                  <bgColor rgb="FF00B050"/>
                </patternFill>
              </fill>
            </x14:dxf>
          </x14:cfRule>
          <x14:cfRule type="expression" priority="7737" stopIfTrue="1" id="{55678A73-99B1-488A-B86D-9F727A8452EF}">
            <xm:f>AND(IF(J288&lt;'F:\Users\norela.briceno\Documents\Plan de acción\Plan Accion 2018\[Plan Accion Integrado ADRES Vigencia 2018 con Cuadro de Mando V6..xlsx]Plan de Accion 2018'!#REF!,J288&lt;&gt;"N/A"))</xm:f>
            <x14:dxf>
              <fill>
                <patternFill>
                  <bgColor indexed="10"/>
                </patternFill>
              </fill>
            </x14:dxf>
          </x14:cfRule>
          <xm:sqref>J288</xm:sqref>
        </x14:conditionalFormatting>
        <x14:conditionalFormatting xmlns:xm="http://schemas.microsoft.com/office/excel/2006/main">
          <x14:cfRule type="expression" priority="7732" id="{EA35C342-F2FE-49E3-8A38-F9325E350D6A}">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7733" stopIfTrue="1" id="{3A74A282-AE47-46E7-B1F5-CB1189DE1FA1}">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7734" stopIfTrue="1" id="{14D12ACC-85EA-4307-8844-2BEB67170E81}">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7729" id="{C07F8F2F-0080-4ED8-81AA-76BE994D03DE}">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7730" stopIfTrue="1" id="{6E56FF36-701B-4CC6-AAA8-9F236A570925}">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7731" stopIfTrue="1" id="{B67F61A0-B3D2-4998-8E36-EE8F7507741E}">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7726" id="{A3F0A17A-4C62-474D-90A8-AA519C86F477}">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7727" stopIfTrue="1" id="{A6AF2BFD-A746-4B74-B718-34235D288D03}">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7728" stopIfTrue="1" id="{1FF5BBCB-D3BA-4B22-91C3-166B8CE9357E}">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7723" id="{A9E63E30-CF84-43CF-9A7B-04F9D835B9D4}">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7724" stopIfTrue="1" id="{35E0D2F7-63FB-4239-A3CB-5A7405B4BC17}">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7725" stopIfTrue="1" id="{96D7E686-0A81-43B4-8C85-E44B8A7F4780}">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7720" id="{1FD3210D-405A-44C8-A57E-8A69D06A7BF4}">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7721" stopIfTrue="1" id="{10D9928C-08C6-4DB4-B1A7-82198D270820}">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7722" stopIfTrue="1" id="{CBF3EF06-C96F-41E1-9DF6-027952493060}">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7717" id="{D305749F-36C2-4F42-8556-203C4D340A79}">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7718" stopIfTrue="1" id="{2B63B983-125C-44F9-A321-6013394D296B}">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7719" stopIfTrue="1" id="{049F9C04-D287-4050-9E95-20AEEE21D37C}">
            <xm:f>AND(IF(J296&lt;'F:\Users\norela.briceno\Documents\Plan de acción\Plan Accion 2018\[Plan Accion Integrado ADRES Vigencia 2018 con Cuadro de Mando V6..xlsx]Plan de Accion 2018'!#REF!,J296&lt;&gt;"N/A"))</xm:f>
            <x14:dxf>
              <fill>
                <patternFill>
                  <bgColor indexed="10"/>
                </patternFill>
              </fill>
            </x14:dxf>
          </x14:cfRule>
          <xm:sqref>J296</xm:sqref>
        </x14:conditionalFormatting>
        <x14:conditionalFormatting xmlns:xm="http://schemas.microsoft.com/office/excel/2006/main">
          <x14:cfRule type="expression" priority="7714" id="{23319BB5-38DC-46F6-A0BE-417176F9D408}">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7715" stopIfTrue="1" id="{AD116F22-ECC4-4E73-8F00-C7E29BEE12C4}">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7716" stopIfTrue="1" id="{B5FB8F93-BEAF-45EF-9F43-D969AC06023F}">
            <xm:f>AND(IF(J297&lt;'F:\Users\norela.briceno\Documents\Plan de acción\Plan Accion 2018\[Plan Accion Integrado ADRES Vigencia 2018 con Cuadro de Mando V6..xlsx]Plan de Accion 2018'!#REF!,J297&lt;&gt;"N/A"))</xm:f>
            <x14:dxf>
              <fill>
                <patternFill>
                  <bgColor indexed="10"/>
                </patternFill>
              </fill>
            </x14:dxf>
          </x14:cfRule>
          <xm:sqref>J297</xm:sqref>
        </x14:conditionalFormatting>
        <x14:conditionalFormatting xmlns:xm="http://schemas.microsoft.com/office/excel/2006/main">
          <x14:cfRule type="expression" priority="7708" id="{666F3512-3252-4305-8E0C-24B96BBC86D5}">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7709" stopIfTrue="1" id="{C0F78F38-CAD2-4840-83B6-85A4F0A36334}">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7710" stopIfTrue="1" id="{D6926575-2466-4FB6-846F-37762ADD86F3}">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7705" id="{4669F42C-64DA-4BB3-A0D5-F5CADC99204E}">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7706" stopIfTrue="1" id="{E0C69DD9-F588-43D6-9041-B810B0134988}">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7707" stopIfTrue="1" id="{F7A34DE3-30A6-4013-B58E-DB790B773C87}">
            <xm:f>AND(IF(J302&lt;'F:\Users\norela.briceno\Documents\Plan de acción\Plan Accion 2018\[Plan Accion Integrado ADRES Vigencia 2018 con Cuadro de Mando V6..xlsx]Plan de Accion 2018'!#REF!,J302&lt;&gt;"N/A"))</xm:f>
            <x14:dxf>
              <fill>
                <patternFill>
                  <bgColor indexed="10"/>
                </patternFill>
              </fill>
            </x14:dxf>
          </x14:cfRule>
          <xm:sqref>J302</xm:sqref>
        </x14:conditionalFormatting>
        <x14:conditionalFormatting xmlns:xm="http://schemas.microsoft.com/office/excel/2006/main">
          <x14:cfRule type="expression" priority="7702" id="{62C36DAF-CE60-4D53-8CF0-5E171828D0A2}">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7703" stopIfTrue="1" id="{B3BBE509-ABDF-4E41-8AB5-9ECDC35BC2A7}">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7704" stopIfTrue="1" id="{5FA2C2E0-6133-4756-87D6-9B42B017E2DC}">
            <xm:f>AND(IF(J303&lt;'F:\Users\norela.briceno\Documents\Plan de acción\Plan Accion 2018\[Plan Accion Integrado ADRES Vigencia 2018 con Cuadro de Mando V6..xlsx]Plan de Accion 2018'!#REF!,J303&lt;&gt;"N/A"))</xm:f>
            <x14:dxf>
              <fill>
                <patternFill>
                  <bgColor indexed="10"/>
                </patternFill>
              </fill>
            </x14:dxf>
          </x14:cfRule>
          <xm:sqref>J303</xm:sqref>
        </x14:conditionalFormatting>
        <x14:conditionalFormatting xmlns:xm="http://schemas.microsoft.com/office/excel/2006/main">
          <x14:cfRule type="expression" priority="7699" id="{DCB37077-9663-4684-9A0D-B0A027F62789}">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7700" stopIfTrue="1" id="{8DEB3A1F-58D2-4365-897D-7188DCD8EC92}">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7701" stopIfTrue="1" id="{A47A0256-03B2-4E39-9D43-451730E6F554}">
            <xm:f>AND(IF(J305&lt;'F:\Users\norela.briceno\Documents\Plan de acción\Plan Accion 2018\[Plan Accion Integrado ADRES Vigencia 2018 con Cuadro de Mando V6..xlsx]Plan de Accion 2018'!#REF!,J305&lt;&gt;"N/A"))</xm:f>
            <x14:dxf>
              <fill>
                <patternFill>
                  <bgColor indexed="10"/>
                </patternFill>
              </fill>
            </x14:dxf>
          </x14:cfRule>
          <xm:sqref>J305</xm:sqref>
        </x14:conditionalFormatting>
        <x14:conditionalFormatting xmlns:xm="http://schemas.microsoft.com/office/excel/2006/main">
          <x14:cfRule type="expression" priority="7696" id="{1C7FDEBE-A6A7-4BE6-AEEB-DF5665652474}">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7697" stopIfTrue="1" id="{1EAC1BDC-1BDC-470B-9F89-A8A2F129AAE4}">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7698" stopIfTrue="1" id="{D07D343D-B94B-436F-B7EE-F2B43A2105E3}">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7693" id="{C304A34E-0CCD-4FDD-86BB-AF6BF0AD76B1}">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7694" stopIfTrue="1" id="{EECC42DA-7283-4CDB-BE86-3E7B093606CB}">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7695" stopIfTrue="1" id="{7D464609-A799-4BED-A600-54D4C286A287}">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7690" id="{A77F13B4-BBB7-4AAF-A635-77A00F270C2E}">
            <xm:f>AND(IF(J309&gt;'F:\Users\norela.briceno\Documents\Plan de acción\Plan Accion 2018\[Plan Accion Integrado ADRES Vigencia 2018 con Cuadro de Mando V6..xlsx]Plan de Accion 2018'!#REF!,J309&lt;&gt;¨N/A¨))</xm:f>
            <x14:dxf>
              <fill>
                <patternFill>
                  <bgColor theme="1" tint="0.499984740745262"/>
                </patternFill>
              </fill>
            </x14:dxf>
          </x14:cfRule>
          <x14:cfRule type="expression" priority="7691" stopIfTrue="1" id="{5FA43D6E-01B7-4751-B671-98F4C3B817D7}">
            <xm:f>AND(IF(J309='F:\Users\norela.briceno\Documents\Plan de acción\Plan Accion 2018\[Plan Accion Integrado ADRES Vigencia 2018 con Cuadro de Mando V6..xlsx]Plan de Accion 2018'!#REF!,J309&lt;&gt;"N/A"))</xm:f>
            <x14:dxf>
              <fill>
                <patternFill>
                  <bgColor rgb="FF00B050"/>
                </patternFill>
              </fill>
            </x14:dxf>
          </x14:cfRule>
          <x14:cfRule type="expression" priority="7692" stopIfTrue="1" id="{8756D9E1-1C79-4645-8CEF-A4FEA0CBE011}">
            <xm:f>AND(IF(J309&lt;'F:\Users\norela.briceno\Documents\Plan de acción\Plan Accion 2018\[Plan Accion Integrado ADRES Vigencia 2018 con Cuadro de Mando V6..xlsx]Plan de Accion 2018'!#REF!,J309&lt;&gt;"N/A"))</xm:f>
            <x14:dxf>
              <fill>
                <patternFill>
                  <bgColor indexed="10"/>
                </patternFill>
              </fill>
            </x14:dxf>
          </x14:cfRule>
          <xm:sqref>J309</xm:sqref>
        </x14:conditionalFormatting>
        <x14:conditionalFormatting xmlns:xm="http://schemas.microsoft.com/office/excel/2006/main">
          <x14:cfRule type="expression" priority="7687" id="{ECF600FC-EC4E-4C79-A961-6A368E2C8C03}">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7688" stopIfTrue="1" id="{25FDB5A5-86F3-479D-867B-F1A3959BDC6E}">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7689" stopIfTrue="1" id="{BDD06CD2-89E1-4348-BF14-5AF6A2EB50DE}">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7684" id="{CF8509CB-AD6D-4D84-A233-38E8F2B452A1}">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7685" stopIfTrue="1" id="{544421A5-1303-4814-B20E-6951B173506F}">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7686" stopIfTrue="1" id="{CF6CDA05-EE49-49CB-8476-34B5B07F23A6}">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7675" id="{A0F69426-92DD-4DA7-A28F-DE6262CA8971}">
            <xm:f>AND(IF(J317&gt;'F:\Users\norela.briceno\Documents\Plan de acción\Plan Accion 2018\[Plan Accion Integrado ADRES Vigencia 2018 con Cuadro de Mando V6..xlsx]Plan de Accion 2018'!#REF!,J317&lt;&gt;¨N/A¨))</xm:f>
            <x14:dxf>
              <fill>
                <patternFill>
                  <bgColor theme="1" tint="0.499984740745262"/>
                </patternFill>
              </fill>
            </x14:dxf>
          </x14:cfRule>
          <x14:cfRule type="expression" priority="7676" stopIfTrue="1" id="{9AD85C46-C683-439A-A65D-6D0A68984029}">
            <xm:f>AND(IF(J317='F:\Users\norela.briceno\Documents\Plan de acción\Plan Accion 2018\[Plan Accion Integrado ADRES Vigencia 2018 con Cuadro de Mando V6..xlsx]Plan de Accion 2018'!#REF!,J317&lt;&gt;"N/A"))</xm:f>
            <x14:dxf>
              <fill>
                <patternFill>
                  <bgColor rgb="FF00B050"/>
                </patternFill>
              </fill>
            </x14:dxf>
          </x14:cfRule>
          <x14:cfRule type="expression" priority="7677" stopIfTrue="1" id="{5E1002E9-2CB3-40FA-940D-499AD6B0AF1E}">
            <xm:f>AND(IF(J317&lt;'F:\Users\norela.briceno\Documents\Plan de acción\Plan Accion 2018\[Plan Accion Integrado ADRES Vigencia 2018 con Cuadro de Mando V6..xlsx]Plan de Accion 2018'!#REF!,J317&lt;&gt;"N/A"))</xm:f>
            <x14:dxf>
              <fill>
                <patternFill>
                  <bgColor indexed="10"/>
                </patternFill>
              </fill>
            </x14:dxf>
          </x14:cfRule>
          <xm:sqref>J317</xm:sqref>
        </x14:conditionalFormatting>
        <x14:conditionalFormatting xmlns:xm="http://schemas.microsoft.com/office/excel/2006/main">
          <x14:cfRule type="expression" priority="7672" id="{D7D9E196-D0E3-4DC5-BB4C-D0174410B677}">
            <xm:f>AND(IF(J318&gt;'F:\Users\norela.briceno\Documents\Plan de acción\Plan Accion 2018\[Plan Accion Integrado ADRES Vigencia 2018 con Cuadro de Mando V6..xlsx]Plan de Accion 2018'!#REF!,J318&lt;&gt;¨N/A¨))</xm:f>
            <x14:dxf>
              <fill>
                <patternFill>
                  <bgColor theme="1" tint="0.499984740745262"/>
                </patternFill>
              </fill>
            </x14:dxf>
          </x14:cfRule>
          <x14:cfRule type="expression" priority="7673" stopIfTrue="1" id="{9791DCD5-8F1F-435C-9347-3BD1AFBA3270}">
            <xm:f>AND(IF(J318='F:\Users\norela.briceno\Documents\Plan de acción\Plan Accion 2018\[Plan Accion Integrado ADRES Vigencia 2018 con Cuadro de Mando V6..xlsx]Plan de Accion 2018'!#REF!,J318&lt;&gt;"N/A"))</xm:f>
            <x14:dxf>
              <fill>
                <patternFill>
                  <bgColor rgb="FF00B050"/>
                </patternFill>
              </fill>
            </x14:dxf>
          </x14:cfRule>
          <x14:cfRule type="expression" priority="7674" stopIfTrue="1" id="{889576B8-A00E-48A5-A2DB-70637CA0DC01}">
            <xm:f>AND(IF(J318&lt;'F:\Users\norela.briceno\Documents\Plan de acción\Plan Accion 2018\[Plan Accion Integrado ADRES Vigencia 2018 con Cuadro de Mando V6..xlsx]Plan de Accion 2018'!#REF!,J318&lt;&gt;"N/A"))</xm:f>
            <x14:dxf>
              <fill>
                <patternFill>
                  <bgColor indexed="10"/>
                </patternFill>
              </fill>
            </x14:dxf>
          </x14:cfRule>
          <xm:sqref>J318</xm:sqref>
        </x14:conditionalFormatting>
        <x14:conditionalFormatting xmlns:xm="http://schemas.microsoft.com/office/excel/2006/main">
          <x14:cfRule type="expression" priority="7660" id="{95AFA146-B8B0-4350-94E4-52B7A56050DA}">
            <xm:f>AND(IF(J319&gt;'F:\Users\norela.briceno\Documents\Plan de acción\Plan Accion 2018\[Plan Accion Integrado ADRES Vigencia 2018 con Cuadro de Mando V6..xlsx]Plan de Accion 2018'!#REF!,J319&lt;&gt;¨N/A¨))</xm:f>
            <x14:dxf>
              <fill>
                <patternFill>
                  <bgColor theme="1" tint="0.499984740745262"/>
                </patternFill>
              </fill>
            </x14:dxf>
          </x14:cfRule>
          <x14:cfRule type="expression" priority="7661" stopIfTrue="1" id="{55404B6B-E569-45D7-84C9-60383F6C36C4}">
            <xm:f>AND(IF(J319='F:\Users\norela.briceno\Documents\Plan de acción\Plan Accion 2018\[Plan Accion Integrado ADRES Vigencia 2018 con Cuadro de Mando V6..xlsx]Plan de Accion 2018'!#REF!,J319&lt;&gt;"N/A"))</xm:f>
            <x14:dxf>
              <fill>
                <patternFill>
                  <bgColor rgb="FF00B050"/>
                </patternFill>
              </fill>
            </x14:dxf>
          </x14:cfRule>
          <x14:cfRule type="expression" priority="7662" stopIfTrue="1" id="{3FCDC013-C983-4F6E-9CCD-B4289C75636E}">
            <xm:f>AND(IF(J319&lt;'F:\Users\norela.briceno\Documents\Plan de acción\Plan Accion 2018\[Plan Accion Integrado ADRES Vigencia 2018 con Cuadro de Mando V6..xlsx]Plan de Accion 2018'!#REF!,J319&lt;&gt;"N/A"))</xm:f>
            <x14:dxf>
              <fill>
                <patternFill>
                  <bgColor indexed="10"/>
                </patternFill>
              </fill>
            </x14:dxf>
          </x14:cfRule>
          <xm:sqref>J319</xm:sqref>
        </x14:conditionalFormatting>
        <x14:conditionalFormatting xmlns:xm="http://schemas.microsoft.com/office/excel/2006/main">
          <x14:cfRule type="expression" priority="7657" id="{2F18D6A1-8E10-4644-9BF0-75B2CC6F6924}">
            <xm:f>AND(IF(J320&gt;'F:\Users\norela.briceno\Documents\Plan de acción\Plan Accion 2018\[Plan Accion Integrado ADRES Vigencia 2018 con Cuadro de Mando V6..xlsx]Plan de Accion 2018'!#REF!,J320&lt;&gt;¨N/A¨))</xm:f>
            <x14:dxf>
              <fill>
                <patternFill>
                  <bgColor theme="1" tint="0.499984740745262"/>
                </patternFill>
              </fill>
            </x14:dxf>
          </x14:cfRule>
          <x14:cfRule type="expression" priority="7658" stopIfTrue="1" id="{6A6012ED-CB7B-4BD9-99BE-05BF45F1FB56}">
            <xm:f>AND(IF(J320='F:\Users\norela.briceno\Documents\Plan de acción\Plan Accion 2018\[Plan Accion Integrado ADRES Vigencia 2018 con Cuadro de Mando V6..xlsx]Plan de Accion 2018'!#REF!,J320&lt;&gt;"N/A"))</xm:f>
            <x14:dxf>
              <fill>
                <patternFill>
                  <bgColor rgb="FF00B050"/>
                </patternFill>
              </fill>
            </x14:dxf>
          </x14:cfRule>
          <x14:cfRule type="expression" priority="7659" stopIfTrue="1" id="{C6E61C13-0E77-4BF1-BC75-64C4009A0B3B}">
            <xm:f>AND(IF(J320&lt;'F:\Users\norela.briceno\Documents\Plan de acción\Plan Accion 2018\[Plan Accion Integrado ADRES Vigencia 2018 con Cuadro de Mando V6..xlsx]Plan de Accion 2018'!#REF!,J320&lt;&gt;"N/A"))</xm:f>
            <x14:dxf>
              <fill>
                <patternFill>
                  <bgColor indexed="10"/>
                </patternFill>
              </fill>
            </x14:dxf>
          </x14:cfRule>
          <xm:sqref>J320</xm:sqref>
        </x14:conditionalFormatting>
        <x14:conditionalFormatting xmlns:xm="http://schemas.microsoft.com/office/excel/2006/main">
          <x14:cfRule type="expression" priority="7654" id="{236E64A7-B3EF-4B46-8CCB-04E8F16E85D8}">
            <xm:f>AND(IF(J321&gt;'F:\Users\norela.briceno\Documents\Plan de acción\Plan Accion 2018\[Plan Accion Integrado ADRES Vigencia 2018 con Cuadro de Mando V6..xlsx]Plan de Accion 2018'!#REF!,J321&lt;&gt;¨N/A¨))</xm:f>
            <x14:dxf>
              <fill>
                <patternFill>
                  <bgColor theme="1" tint="0.499984740745262"/>
                </patternFill>
              </fill>
            </x14:dxf>
          </x14:cfRule>
          <x14:cfRule type="expression" priority="7655" stopIfTrue="1" id="{5F6804F5-471D-439C-BA64-07730D92CF4F}">
            <xm:f>AND(IF(J321='F:\Users\norela.briceno\Documents\Plan de acción\Plan Accion 2018\[Plan Accion Integrado ADRES Vigencia 2018 con Cuadro de Mando V6..xlsx]Plan de Accion 2018'!#REF!,J321&lt;&gt;"N/A"))</xm:f>
            <x14:dxf>
              <fill>
                <patternFill>
                  <bgColor rgb="FF00B050"/>
                </patternFill>
              </fill>
            </x14:dxf>
          </x14:cfRule>
          <x14:cfRule type="expression" priority="7656" stopIfTrue="1" id="{CE4B3AF4-873D-4CF8-BCBC-7D9D9852D4C5}">
            <xm:f>AND(IF(J321&lt;'F:\Users\norela.briceno\Documents\Plan de acción\Plan Accion 2018\[Plan Accion Integrado ADRES Vigencia 2018 con Cuadro de Mando V6..xlsx]Plan de Accion 2018'!#REF!,J321&lt;&gt;"N/A"))</xm:f>
            <x14:dxf>
              <fill>
                <patternFill>
                  <bgColor indexed="10"/>
                </patternFill>
              </fill>
            </x14:dxf>
          </x14:cfRule>
          <xm:sqref>J321</xm:sqref>
        </x14:conditionalFormatting>
        <x14:conditionalFormatting xmlns:xm="http://schemas.microsoft.com/office/excel/2006/main">
          <x14:cfRule type="expression" priority="7651" id="{5C706E30-8A5B-46E6-A86E-0F2B2E4C3806}">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7652" stopIfTrue="1" id="{3000EAE8-871F-42AD-9334-15BD18C2636B}">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7653" stopIfTrue="1" id="{55C9D119-1176-41C7-937A-EAE136E38333}">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7648" id="{61ADE537-FF10-46E9-AD24-5EB4186E13F1}">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7649" stopIfTrue="1" id="{9F36C6D6-8069-441A-8058-2BA970C91560}">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7650" stopIfTrue="1" id="{EF19A3CD-AB76-482E-8AAC-C5CF82A471D8}">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7645" id="{BC105914-F08A-4FF3-B541-4DCF7DF62567}">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7646" stopIfTrue="1" id="{B397756C-A007-4E98-A69D-53A6D3AAADDD}">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7647" stopIfTrue="1" id="{68DDE2B3-FA31-4E07-B605-F6D36C1CEFFF}">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7642" id="{8D4A45E3-7BDA-4BFB-9663-5B3F45709AA8}">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7643" stopIfTrue="1" id="{BB87CCAE-6EF8-4155-963F-7307CAB7F5E9}">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7644" stopIfTrue="1" id="{578526A1-66A1-4347-9481-15AA6CD38242}">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7639" id="{08C17B7B-5BB0-41E3-9119-776277B628CE}">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7640" stopIfTrue="1" id="{10E434E5-DB01-40B9-A209-CC28B2B74DC7}">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7641" stopIfTrue="1" id="{9EC191ED-6B2C-43CE-9FEE-CBE882DB26AF}">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7636" id="{D0033153-8817-4D97-AFE3-BEFBF1070776}">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7637" stopIfTrue="1" id="{B3528B17-2DED-496A-B1F2-95E9CAC3E6CD}">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7638" stopIfTrue="1" id="{69F4746F-EE6B-4F2E-86E3-9E198688F87A}">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7591" id="{52AF0F75-A965-4E46-ABA9-2551CCC309AE}">
            <xm:f>AND(IF(J346&gt;'F:\Users\norela.briceno\Documents\Plan de acción\Plan Accion 2018\[Plan Accion Integrado ADRES Vigencia 2018 con Cuadro de Mando V6..xlsx]Plan de Accion 2018'!#REF!,J346&lt;&gt;¨N/A¨))</xm:f>
            <x14:dxf>
              <fill>
                <patternFill>
                  <bgColor theme="1" tint="0.499984740745262"/>
                </patternFill>
              </fill>
            </x14:dxf>
          </x14:cfRule>
          <x14:cfRule type="expression" priority="7592" stopIfTrue="1" id="{7D947319-BB6A-4641-A505-00B78677196D}">
            <xm:f>AND(IF(J346='F:\Users\norela.briceno\Documents\Plan de acción\Plan Accion 2018\[Plan Accion Integrado ADRES Vigencia 2018 con Cuadro de Mando V6..xlsx]Plan de Accion 2018'!#REF!,J346&lt;&gt;"N/A"))</xm:f>
            <x14:dxf>
              <fill>
                <patternFill>
                  <bgColor rgb="FF00B050"/>
                </patternFill>
              </fill>
            </x14:dxf>
          </x14:cfRule>
          <x14:cfRule type="expression" priority="7593" stopIfTrue="1" id="{1B43F01E-DB64-4253-8173-55F7E6B3BB9C}">
            <xm:f>AND(IF(J346&lt;'F:\Users\norela.briceno\Documents\Plan de acción\Plan Accion 2018\[Plan Accion Integrado ADRES Vigencia 2018 con Cuadro de Mando V6..xlsx]Plan de Accion 2018'!#REF!,J346&lt;&gt;"N/A"))</xm:f>
            <x14:dxf>
              <fill>
                <patternFill>
                  <bgColor indexed="10"/>
                </patternFill>
              </fill>
            </x14:dxf>
          </x14:cfRule>
          <xm:sqref>J346</xm:sqref>
        </x14:conditionalFormatting>
        <x14:conditionalFormatting xmlns:xm="http://schemas.microsoft.com/office/excel/2006/main">
          <x14:cfRule type="expression" priority="7588" id="{E07A8C36-D48A-47A6-BD5D-D2B47C1923E5}">
            <xm:f>AND(IF(J348&gt;'F:\Users\norela.briceno\Documents\Plan de acción\Plan Accion 2018\[Plan Accion Integrado ADRES Vigencia 2018 con Cuadro de Mando V6..xlsx]Plan de Accion 2018'!#REF!,J348&lt;&gt;¨N/A¨))</xm:f>
            <x14:dxf>
              <fill>
                <patternFill>
                  <bgColor theme="1" tint="0.499984740745262"/>
                </patternFill>
              </fill>
            </x14:dxf>
          </x14:cfRule>
          <x14:cfRule type="expression" priority="7589" stopIfTrue="1" id="{09367B4D-8C4F-4A49-9EF1-A275623B40BA}">
            <xm:f>AND(IF(J348='F:\Users\norela.briceno\Documents\Plan de acción\Plan Accion 2018\[Plan Accion Integrado ADRES Vigencia 2018 con Cuadro de Mando V6..xlsx]Plan de Accion 2018'!#REF!,J348&lt;&gt;"N/A"))</xm:f>
            <x14:dxf>
              <fill>
                <patternFill>
                  <bgColor rgb="FF00B050"/>
                </patternFill>
              </fill>
            </x14:dxf>
          </x14:cfRule>
          <x14:cfRule type="expression" priority="7590" stopIfTrue="1" id="{4D8230C8-FB7A-42A8-93FC-BB85EDC3356A}">
            <xm:f>AND(IF(J348&lt;'F:\Users\norela.briceno\Documents\Plan de acción\Plan Accion 2018\[Plan Accion Integrado ADRES Vigencia 2018 con Cuadro de Mando V6..xlsx]Plan de Accion 2018'!#REF!,J348&lt;&gt;"N/A"))</xm:f>
            <x14:dxf>
              <fill>
                <patternFill>
                  <bgColor indexed="10"/>
                </patternFill>
              </fill>
            </x14:dxf>
          </x14:cfRule>
          <xm:sqref>J348</xm:sqref>
        </x14:conditionalFormatting>
        <x14:conditionalFormatting xmlns:xm="http://schemas.microsoft.com/office/excel/2006/main">
          <x14:cfRule type="expression" priority="7585" id="{2C532752-24E0-4268-A894-ECAA56CD73E7}">
            <xm:f>AND(IF(J349&gt;'F:\Users\norela.briceno\Documents\Plan de acción\Plan Accion 2018\[Plan Accion Integrado ADRES Vigencia 2018 con Cuadro de Mando V6..xlsx]Plan de Accion 2018'!#REF!,J349&lt;&gt;¨N/A¨))</xm:f>
            <x14:dxf>
              <fill>
                <patternFill>
                  <bgColor theme="1" tint="0.499984740745262"/>
                </patternFill>
              </fill>
            </x14:dxf>
          </x14:cfRule>
          <x14:cfRule type="expression" priority="7586" stopIfTrue="1" id="{148AB6FB-0040-468F-BF00-A56C1773F932}">
            <xm:f>AND(IF(J349='F:\Users\norela.briceno\Documents\Plan de acción\Plan Accion 2018\[Plan Accion Integrado ADRES Vigencia 2018 con Cuadro de Mando V6..xlsx]Plan de Accion 2018'!#REF!,J349&lt;&gt;"N/A"))</xm:f>
            <x14:dxf>
              <fill>
                <patternFill>
                  <bgColor rgb="FF00B050"/>
                </patternFill>
              </fill>
            </x14:dxf>
          </x14:cfRule>
          <x14:cfRule type="expression" priority="7587" stopIfTrue="1" id="{9EBBA7C4-EA84-4846-B4F3-0FEF25FB2E50}">
            <xm:f>AND(IF(J349&lt;'F:\Users\norela.briceno\Documents\Plan de acción\Plan Accion 2018\[Plan Accion Integrado ADRES Vigencia 2018 con Cuadro de Mando V6..xlsx]Plan de Accion 2018'!#REF!,J349&lt;&gt;"N/A"))</xm:f>
            <x14:dxf>
              <fill>
                <patternFill>
                  <bgColor indexed="10"/>
                </patternFill>
              </fill>
            </x14:dxf>
          </x14:cfRule>
          <xm:sqref>J349</xm:sqref>
        </x14:conditionalFormatting>
        <x14:conditionalFormatting xmlns:xm="http://schemas.microsoft.com/office/excel/2006/main">
          <x14:cfRule type="expression" priority="7579" id="{84D24A24-3E25-45EA-9FBD-A193BBEB3662}">
            <xm:f>AND(IF(J350&gt;'F:\Users\norela.briceno\Documents\Plan de acción\Plan Accion 2018\[Plan Accion Integrado ADRES Vigencia 2018 con Cuadro de Mando V6..xlsx]Plan de Accion 2018'!#REF!,J350&lt;&gt;¨N/A¨))</xm:f>
            <x14:dxf>
              <fill>
                <patternFill>
                  <bgColor theme="1" tint="0.499984740745262"/>
                </patternFill>
              </fill>
            </x14:dxf>
          </x14:cfRule>
          <x14:cfRule type="expression" priority="7580" stopIfTrue="1" id="{3FD227E2-7FFB-4844-A55A-CA38B539459E}">
            <xm:f>AND(IF(J350='F:\Users\norela.briceno\Documents\Plan de acción\Plan Accion 2018\[Plan Accion Integrado ADRES Vigencia 2018 con Cuadro de Mando V6..xlsx]Plan de Accion 2018'!#REF!,J350&lt;&gt;"N/A"))</xm:f>
            <x14:dxf>
              <fill>
                <patternFill>
                  <bgColor rgb="FF00B050"/>
                </patternFill>
              </fill>
            </x14:dxf>
          </x14:cfRule>
          <x14:cfRule type="expression" priority="7581" stopIfTrue="1" id="{F4CB9B13-B783-4FEE-8A18-AF7AE1F8392C}">
            <xm:f>AND(IF(J350&lt;'F:\Users\norela.briceno\Documents\Plan de acción\Plan Accion 2018\[Plan Accion Integrado ADRES Vigencia 2018 con Cuadro de Mando V6..xlsx]Plan de Accion 2018'!#REF!,J350&lt;&gt;"N/A"))</xm:f>
            <x14:dxf>
              <fill>
                <patternFill>
                  <bgColor indexed="10"/>
                </patternFill>
              </fill>
            </x14:dxf>
          </x14:cfRule>
          <xm:sqref>J350</xm:sqref>
        </x14:conditionalFormatting>
        <x14:conditionalFormatting xmlns:xm="http://schemas.microsoft.com/office/excel/2006/main">
          <x14:cfRule type="expression" priority="7567" id="{419D2B31-3775-41DE-8E0A-E36B3E6A6BDA}">
            <xm:f>AND(IF(J352&gt;'F:\Users\norela.briceno\Documents\Plan de acción\Plan Accion 2018\[Plan Accion Integrado ADRES Vigencia 2018 con Cuadro de Mando V6..xlsx]Plan de Accion 2018'!#REF!,J352&lt;&gt;¨N/A¨))</xm:f>
            <x14:dxf>
              <fill>
                <patternFill>
                  <bgColor theme="1" tint="0.499984740745262"/>
                </patternFill>
              </fill>
            </x14:dxf>
          </x14:cfRule>
          <x14:cfRule type="expression" priority="7568" stopIfTrue="1" id="{5A101F35-E969-4406-B660-8864EECECB3B}">
            <xm:f>AND(IF(J352='F:\Users\norela.briceno\Documents\Plan de acción\Plan Accion 2018\[Plan Accion Integrado ADRES Vigencia 2018 con Cuadro de Mando V6..xlsx]Plan de Accion 2018'!#REF!,J352&lt;&gt;"N/A"))</xm:f>
            <x14:dxf>
              <fill>
                <patternFill>
                  <bgColor rgb="FF00B050"/>
                </patternFill>
              </fill>
            </x14:dxf>
          </x14:cfRule>
          <x14:cfRule type="expression" priority="7569" stopIfTrue="1" id="{368529CD-CB94-4C61-860E-066365634661}">
            <xm:f>AND(IF(J352&lt;'F:\Users\norela.briceno\Documents\Plan de acción\Plan Accion 2018\[Plan Accion Integrado ADRES Vigencia 2018 con Cuadro de Mando V6..xlsx]Plan de Accion 2018'!#REF!,J352&lt;&gt;"N/A"))</xm:f>
            <x14:dxf>
              <fill>
                <patternFill>
                  <bgColor indexed="10"/>
                </patternFill>
              </fill>
            </x14:dxf>
          </x14:cfRule>
          <xm:sqref>J352</xm:sqref>
        </x14:conditionalFormatting>
        <x14:conditionalFormatting xmlns:xm="http://schemas.microsoft.com/office/excel/2006/main">
          <x14:cfRule type="expression" priority="7564" id="{C85AF9B7-AD51-4411-BE09-3977CFFC7DAD}">
            <xm:f>AND(IF(J353&gt;'F:\Users\norela.briceno\Documents\Plan de acción\Plan Accion 2018\[Plan Accion Integrado ADRES Vigencia 2018 con Cuadro de Mando V6..xlsx]Plan de Accion 2018'!#REF!,J353&lt;&gt;¨N/A¨))</xm:f>
            <x14:dxf>
              <fill>
                <patternFill>
                  <bgColor theme="1" tint="0.499984740745262"/>
                </patternFill>
              </fill>
            </x14:dxf>
          </x14:cfRule>
          <x14:cfRule type="expression" priority="7565" stopIfTrue="1" id="{FB87EA08-2114-4B88-936B-0A4BEB570CAD}">
            <xm:f>AND(IF(J353='F:\Users\norela.briceno\Documents\Plan de acción\Plan Accion 2018\[Plan Accion Integrado ADRES Vigencia 2018 con Cuadro de Mando V6..xlsx]Plan de Accion 2018'!#REF!,J353&lt;&gt;"N/A"))</xm:f>
            <x14:dxf>
              <fill>
                <patternFill>
                  <bgColor rgb="FF00B050"/>
                </patternFill>
              </fill>
            </x14:dxf>
          </x14:cfRule>
          <x14:cfRule type="expression" priority="7566" stopIfTrue="1" id="{4E90C988-3062-499C-AF0E-55C13BBFE760}">
            <xm:f>AND(IF(J353&lt;'F:\Users\norela.briceno\Documents\Plan de acción\Plan Accion 2018\[Plan Accion Integrado ADRES Vigencia 2018 con Cuadro de Mando V6..xlsx]Plan de Accion 2018'!#REF!,J353&lt;&gt;"N/A"))</xm:f>
            <x14:dxf>
              <fill>
                <patternFill>
                  <bgColor indexed="10"/>
                </patternFill>
              </fill>
            </x14:dxf>
          </x14:cfRule>
          <xm:sqref>J353</xm:sqref>
        </x14:conditionalFormatting>
        <x14:conditionalFormatting xmlns:xm="http://schemas.microsoft.com/office/excel/2006/main">
          <x14:cfRule type="expression" priority="7561" id="{C218752D-9165-4C58-8066-7C8AA7FE8CB1}">
            <xm:f>AND(IF(J354&gt;'F:\Users\norela.briceno\Documents\Plan de acción\Plan Accion 2018\[Plan Accion Integrado ADRES Vigencia 2018 con Cuadro de Mando V6..xlsx]Plan de Accion 2018'!#REF!,J354&lt;&gt;¨N/A¨))</xm:f>
            <x14:dxf>
              <fill>
                <patternFill>
                  <bgColor theme="1" tint="0.499984740745262"/>
                </patternFill>
              </fill>
            </x14:dxf>
          </x14:cfRule>
          <x14:cfRule type="expression" priority="7562" stopIfTrue="1" id="{282BF6BB-48E3-478D-90A7-FA5C2CBC883A}">
            <xm:f>AND(IF(J354='F:\Users\norela.briceno\Documents\Plan de acción\Plan Accion 2018\[Plan Accion Integrado ADRES Vigencia 2018 con Cuadro de Mando V6..xlsx]Plan de Accion 2018'!#REF!,J354&lt;&gt;"N/A"))</xm:f>
            <x14:dxf>
              <fill>
                <patternFill>
                  <bgColor rgb="FF00B050"/>
                </patternFill>
              </fill>
            </x14:dxf>
          </x14:cfRule>
          <x14:cfRule type="expression" priority="7563" stopIfTrue="1" id="{D0100765-2070-4907-8517-A08798455B99}">
            <xm:f>AND(IF(J354&lt;'F:\Users\norela.briceno\Documents\Plan de acción\Plan Accion 2018\[Plan Accion Integrado ADRES Vigencia 2018 con Cuadro de Mando V6..xlsx]Plan de Accion 2018'!#REF!,J354&lt;&gt;"N/A"))</xm:f>
            <x14:dxf>
              <fill>
                <patternFill>
                  <bgColor indexed="10"/>
                </patternFill>
              </fill>
            </x14:dxf>
          </x14:cfRule>
          <xm:sqref>J354</xm:sqref>
        </x14:conditionalFormatting>
        <x14:conditionalFormatting xmlns:xm="http://schemas.microsoft.com/office/excel/2006/main">
          <x14:cfRule type="expression" priority="7558" id="{D3733EE2-D918-48F8-86E9-CA97038B08BA}">
            <xm:f>AND(IF(J355&gt;'F:\Users\norela.briceno\Documents\Plan de acción\Plan Accion 2018\[Plan Accion Integrado ADRES Vigencia 2018 con Cuadro de Mando V6..xlsx]Plan de Accion 2018'!#REF!,J355&lt;&gt;¨N/A¨))</xm:f>
            <x14:dxf>
              <fill>
                <patternFill>
                  <bgColor theme="1" tint="0.499984740745262"/>
                </patternFill>
              </fill>
            </x14:dxf>
          </x14:cfRule>
          <x14:cfRule type="expression" priority="7559" stopIfTrue="1" id="{4EC11AFF-2C55-4AF4-9A28-3E18447E6447}">
            <xm:f>AND(IF(J355='F:\Users\norela.briceno\Documents\Plan de acción\Plan Accion 2018\[Plan Accion Integrado ADRES Vigencia 2018 con Cuadro de Mando V6..xlsx]Plan de Accion 2018'!#REF!,J355&lt;&gt;"N/A"))</xm:f>
            <x14:dxf>
              <fill>
                <patternFill>
                  <bgColor rgb="FF00B050"/>
                </patternFill>
              </fill>
            </x14:dxf>
          </x14:cfRule>
          <x14:cfRule type="expression" priority="7560" stopIfTrue="1" id="{8AFF68B0-5B33-4F7C-A2C9-D7068DF54141}">
            <xm:f>AND(IF(J355&lt;'F:\Users\norela.briceno\Documents\Plan de acción\Plan Accion 2018\[Plan Accion Integrado ADRES Vigencia 2018 con Cuadro de Mando V6..xlsx]Plan de Accion 2018'!#REF!,J355&lt;&gt;"N/A"))</xm:f>
            <x14:dxf>
              <fill>
                <patternFill>
                  <bgColor indexed="10"/>
                </patternFill>
              </fill>
            </x14:dxf>
          </x14:cfRule>
          <xm:sqref>J355 J357</xm:sqref>
        </x14:conditionalFormatting>
        <x14:conditionalFormatting xmlns:xm="http://schemas.microsoft.com/office/excel/2006/main">
          <x14:cfRule type="expression" priority="7555" id="{50875E89-6087-46CD-B6F4-1C614A5BE7CA}">
            <xm:f>AND(IF(J358&gt;'F:\Users\norela.briceno\Documents\Plan de acción\Plan Accion 2018\[Plan Accion Integrado ADRES Vigencia 2018 con Cuadro de Mando V6..xlsx]Plan de Accion 2018'!#REF!,J358&lt;&gt;¨N/A¨))</xm:f>
            <x14:dxf>
              <fill>
                <patternFill>
                  <bgColor theme="1" tint="0.499984740745262"/>
                </patternFill>
              </fill>
            </x14:dxf>
          </x14:cfRule>
          <x14:cfRule type="expression" priority="7556" stopIfTrue="1" id="{8F34E03F-ED4A-4E9E-890B-2F4B3B24735B}">
            <xm:f>AND(IF(J358='F:\Users\norela.briceno\Documents\Plan de acción\Plan Accion 2018\[Plan Accion Integrado ADRES Vigencia 2018 con Cuadro de Mando V6..xlsx]Plan de Accion 2018'!#REF!,J358&lt;&gt;"N/A"))</xm:f>
            <x14:dxf>
              <fill>
                <patternFill>
                  <bgColor rgb="FF00B050"/>
                </patternFill>
              </fill>
            </x14:dxf>
          </x14:cfRule>
          <x14:cfRule type="expression" priority="7557" stopIfTrue="1" id="{3B536A2C-0798-4305-AE92-C5255A9B3642}">
            <xm:f>AND(IF(J358&lt;'F:\Users\norela.briceno\Documents\Plan de acción\Plan Accion 2018\[Plan Accion Integrado ADRES Vigencia 2018 con Cuadro de Mando V6..xlsx]Plan de Accion 2018'!#REF!,J358&lt;&gt;"N/A"))</xm:f>
            <x14:dxf>
              <fill>
                <patternFill>
                  <bgColor indexed="10"/>
                </patternFill>
              </fill>
            </x14:dxf>
          </x14:cfRule>
          <xm:sqref>J358</xm:sqref>
        </x14:conditionalFormatting>
        <x14:conditionalFormatting xmlns:xm="http://schemas.microsoft.com/office/excel/2006/main">
          <x14:cfRule type="expression" priority="7552" id="{582BAD77-ACAA-4DBB-B8EB-A29F2D58686C}">
            <xm:f>AND(IF(J359&gt;'F:\Users\norela.briceno\Documents\Plan de acción\Plan Accion 2018\[Plan Accion Integrado ADRES Vigencia 2018 con Cuadro de Mando V6..xlsx]Plan de Accion 2018'!#REF!,J359&lt;&gt;¨N/A¨))</xm:f>
            <x14:dxf>
              <fill>
                <patternFill>
                  <bgColor theme="1" tint="0.499984740745262"/>
                </patternFill>
              </fill>
            </x14:dxf>
          </x14:cfRule>
          <x14:cfRule type="expression" priority="7553" stopIfTrue="1" id="{425E17B3-1196-444B-AF56-03DB8142A340}">
            <xm:f>AND(IF(J359='F:\Users\norela.briceno\Documents\Plan de acción\Plan Accion 2018\[Plan Accion Integrado ADRES Vigencia 2018 con Cuadro de Mando V6..xlsx]Plan de Accion 2018'!#REF!,J359&lt;&gt;"N/A"))</xm:f>
            <x14:dxf>
              <fill>
                <patternFill>
                  <bgColor rgb="FF00B050"/>
                </patternFill>
              </fill>
            </x14:dxf>
          </x14:cfRule>
          <x14:cfRule type="expression" priority="7554" stopIfTrue="1" id="{84D6E65C-E3FC-46A5-AFAE-3825D5BE7552}">
            <xm:f>AND(IF(J359&lt;'F:\Users\norela.briceno\Documents\Plan de acción\Plan Accion 2018\[Plan Accion Integrado ADRES Vigencia 2018 con Cuadro de Mando V6..xlsx]Plan de Accion 2018'!#REF!,J359&lt;&gt;"N/A"))</xm:f>
            <x14:dxf>
              <fill>
                <patternFill>
                  <bgColor indexed="10"/>
                </patternFill>
              </fill>
            </x14:dxf>
          </x14:cfRule>
          <xm:sqref>J359</xm:sqref>
        </x14:conditionalFormatting>
        <x14:conditionalFormatting xmlns:xm="http://schemas.microsoft.com/office/excel/2006/main">
          <x14:cfRule type="expression" priority="7549" id="{FA932AC1-F7D9-4EF9-8EE0-743DC86531F5}">
            <xm:f>AND(IF(Q359&gt;'F:\Users\norela.briceno\Documents\Plan de acción\Plan Accion 2018\[Plan Accion Integrado ADRES Vigencia 2018 con Cuadro de Mando V6..xlsx]Plan de Accion 2018'!#REF!,Q359&lt;&gt;¨N/A¨))</xm:f>
            <x14:dxf>
              <fill>
                <patternFill>
                  <bgColor theme="1" tint="0.499984740745262"/>
                </patternFill>
              </fill>
            </x14:dxf>
          </x14:cfRule>
          <x14:cfRule type="expression" priority="7550" stopIfTrue="1" id="{52E8698C-323F-431B-8CDB-22BCE98DEAB0}">
            <xm:f>AND(IF(Q359='F:\Users\norela.briceno\Documents\Plan de acción\Plan Accion 2018\[Plan Accion Integrado ADRES Vigencia 2018 con Cuadro de Mando V6..xlsx]Plan de Accion 2018'!#REF!,Q359&lt;&gt;"N/A"))</xm:f>
            <x14:dxf>
              <fill>
                <patternFill>
                  <bgColor rgb="FF00B050"/>
                </patternFill>
              </fill>
            </x14:dxf>
          </x14:cfRule>
          <x14:cfRule type="expression" priority="7551" stopIfTrue="1" id="{D33D47A7-67CE-4993-AE7C-4745F9770261}">
            <xm:f>AND(IF(Q359&lt;'F:\Users\norela.briceno\Documents\Plan de acción\Plan Accion 2018\[Plan Accion Integrado ADRES Vigencia 2018 con Cuadro de Mando V6..xlsx]Plan de Accion 2018'!#REF!,Q359&lt;&gt;"N/A"))</xm:f>
            <x14:dxf>
              <fill>
                <patternFill>
                  <bgColor indexed="10"/>
                </patternFill>
              </fill>
            </x14:dxf>
          </x14:cfRule>
          <xm:sqref>Q359</xm:sqref>
        </x14:conditionalFormatting>
        <x14:conditionalFormatting xmlns:xm="http://schemas.microsoft.com/office/excel/2006/main">
          <x14:cfRule type="expression" priority="7546" id="{49DDB158-CBAE-40F9-B8B3-8EF887B7A4FB}">
            <xm:f>AND(IF(Q358&gt;'F:\Users\norela.briceno\Documents\Plan de acción\Plan Accion 2018\[Plan Accion Integrado ADRES Vigencia 2018 con Cuadro de Mando V6..xlsx]Plan de Accion 2018'!#REF!,Q358&lt;&gt;¨N/A¨))</xm:f>
            <x14:dxf>
              <fill>
                <patternFill>
                  <bgColor theme="1" tint="0.499984740745262"/>
                </patternFill>
              </fill>
            </x14:dxf>
          </x14:cfRule>
          <x14:cfRule type="expression" priority="7547" stopIfTrue="1" id="{9EE1C65B-A39E-4915-B007-4C80CAFA7B3E}">
            <xm:f>AND(IF(Q358='F:\Users\norela.briceno\Documents\Plan de acción\Plan Accion 2018\[Plan Accion Integrado ADRES Vigencia 2018 con Cuadro de Mando V6..xlsx]Plan de Accion 2018'!#REF!,Q358&lt;&gt;"N/A"))</xm:f>
            <x14:dxf>
              <fill>
                <patternFill>
                  <bgColor rgb="FF00B050"/>
                </patternFill>
              </fill>
            </x14:dxf>
          </x14:cfRule>
          <x14:cfRule type="expression" priority="7548" stopIfTrue="1" id="{FECDC918-56D5-46F8-8825-5A09E9E18F28}">
            <xm:f>AND(IF(Q358&lt;'F:\Users\norela.briceno\Documents\Plan de acción\Plan Accion 2018\[Plan Accion Integrado ADRES Vigencia 2018 con Cuadro de Mando V6..xlsx]Plan de Accion 2018'!#REF!,Q358&lt;&gt;"N/A"))</xm:f>
            <x14:dxf>
              <fill>
                <patternFill>
                  <bgColor indexed="10"/>
                </patternFill>
              </fill>
            </x14:dxf>
          </x14:cfRule>
          <xm:sqref>Q358</xm:sqref>
        </x14:conditionalFormatting>
        <x14:conditionalFormatting xmlns:xm="http://schemas.microsoft.com/office/excel/2006/main">
          <x14:cfRule type="expression" priority="7543" id="{FC584531-032D-438C-BA1B-334CBBEA355C}">
            <xm:f>AND(IF(Q355&gt;'F:\Users\norela.briceno\Documents\Plan de acción\Plan Accion 2018\[Plan Accion Integrado ADRES Vigencia 2018 con Cuadro de Mando V6..xlsx]Plan de Accion 2018'!#REF!,Q355&lt;&gt;¨N/A¨))</xm:f>
            <x14:dxf>
              <fill>
                <patternFill>
                  <bgColor theme="1" tint="0.499984740745262"/>
                </patternFill>
              </fill>
            </x14:dxf>
          </x14:cfRule>
          <x14:cfRule type="expression" priority="7544" stopIfTrue="1" id="{48FEE00D-0170-4F73-8AE7-EA10125D9AF2}">
            <xm:f>AND(IF(Q355='F:\Users\norela.briceno\Documents\Plan de acción\Plan Accion 2018\[Plan Accion Integrado ADRES Vigencia 2018 con Cuadro de Mando V6..xlsx]Plan de Accion 2018'!#REF!,Q355&lt;&gt;"N/A"))</xm:f>
            <x14:dxf>
              <fill>
                <patternFill>
                  <bgColor rgb="FF00B050"/>
                </patternFill>
              </fill>
            </x14:dxf>
          </x14:cfRule>
          <x14:cfRule type="expression" priority="7545" stopIfTrue="1" id="{96DC58FC-D635-4607-9085-2A909D250D10}">
            <xm:f>AND(IF(Q355&lt;'F:\Users\norela.briceno\Documents\Plan de acción\Plan Accion 2018\[Plan Accion Integrado ADRES Vigencia 2018 con Cuadro de Mando V6..xlsx]Plan de Accion 2018'!#REF!,Q355&lt;&gt;"N/A"))</xm:f>
            <x14:dxf>
              <fill>
                <patternFill>
                  <bgColor indexed="10"/>
                </patternFill>
              </fill>
            </x14:dxf>
          </x14:cfRule>
          <xm:sqref>Q355 Q357</xm:sqref>
        </x14:conditionalFormatting>
        <x14:conditionalFormatting xmlns:xm="http://schemas.microsoft.com/office/excel/2006/main">
          <x14:cfRule type="expression" priority="7540" id="{25949B3C-659B-4579-B94D-88FA857F4C68}">
            <xm:f>AND(IF(Q354&gt;'F:\Users\norela.briceno\Documents\Plan de acción\Plan Accion 2018\[Plan Accion Integrado ADRES Vigencia 2018 con Cuadro de Mando V6..xlsx]Plan de Accion 2018'!#REF!,Q354&lt;&gt;¨N/A¨))</xm:f>
            <x14:dxf>
              <fill>
                <patternFill>
                  <bgColor theme="1" tint="0.499984740745262"/>
                </patternFill>
              </fill>
            </x14:dxf>
          </x14:cfRule>
          <x14:cfRule type="expression" priority="7541" stopIfTrue="1" id="{C239CC11-DB06-466A-9BBB-CEB32D1502EA}">
            <xm:f>AND(IF(Q354='F:\Users\norela.briceno\Documents\Plan de acción\Plan Accion 2018\[Plan Accion Integrado ADRES Vigencia 2018 con Cuadro de Mando V6..xlsx]Plan de Accion 2018'!#REF!,Q354&lt;&gt;"N/A"))</xm:f>
            <x14:dxf>
              <fill>
                <patternFill>
                  <bgColor rgb="FF00B050"/>
                </patternFill>
              </fill>
            </x14:dxf>
          </x14:cfRule>
          <x14:cfRule type="expression" priority="7542" stopIfTrue="1" id="{490C37F2-2C18-4886-8755-B968E1D2CEA2}">
            <xm:f>AND(IF(Q354&lt;'F:\Users\norela.briceno\Documents\Plan de acción\Plan Accion 2018\[Plan Accion Integrado ADRES Vigencia 2018 con Cuadro de Mando V6..xlsx]Plan de Accion 2018'!#REF!,Q354&lt;&gt;"N/A"))</xm:f>
            <x14:dxf>
              <fill>
                <patternFill>
                  <bgColor indexed="10"/>
                </patternFill>
              </fill>
            </x14:dxf>
          </x14:cfRule>
          <xm:sqref>Q354</xm:sqref>
        </x14:conditionalFormatting>
        <x14:conditionalFormatting xmlns:xm="http://schemas.microsoft.com/office/excel/2006/main">
          <x14:cfRule type="expression" priority="7537" id="{2B7B2B13-E1A1-4C2A-9175-A7A61F2AC04B}">
            <xm:f>AND(IF(Q353&gt;'F:\Users\norela.briceno\Documents\Plan de acción\Plan Accion 2018\[Plan Accion Integrado ADRES Vigencia 2018 con Cuadro de Mando V6..xlsx]Plan de Accion 2018'!#REF!,Q353&lt;&gt;¨N/A¨))</xm:f>
            <x14:dxf>
              <fill>
                <patternFill>
                  <bgColor theme="1" tint="0.499984740745262"/>
                </patternFill>
              </fill>
            </x14:dxf>
          </x14:cfRule>
          <x14:cfRule type="expression" priority="7538" stopIfTrue="1" id="{76F3ADF6-165B-4635-BC6B-8060666FBCC4}">
            <xm:f>AND(IF(Q353='F:\Users\norela.briceno\Documents\Plan de acción\Plan Accion 2018\[Plan Accion Integrado ADRES Vigencia 2018 con Cuadro de Mando V6..xlsx]Plan de Accion 2018'!#REF!,Q353&lt;&gt;"N/A"))</xm:f>
            <x14:dxf>
              <fill>
                <patternFill>
                  <bgColor rgb="FF00B050"/>
                </patternFill>
              </fill>
            </x14:dxf>
          </x14:cfRule>
          <x14:cfRule type="expression" priority="7539" stopIfTrue="1" id="{551B4BD0-ACED-47FD-B773-B7B2817E72DA}">
            <xm:f>AND(IF(Q353&lt;'F:\Users\norela.briceno\Documents\Plan de acción\Plan Accion 2018\[Plan Accion Integrado ADRES Vigencia 2018 con Cuadro de Mando V6..xlsx]Plan de Accion 2018'!#REF!,Q353&lt;&gt;"N/A"))</xm:f>
            <x14:dxf>
              <fill>
                <patternFill>
                  <bgColor indexed="10"/>
                </patternFill>
              </fill>
            </x14:dxf>
          </x14:cfRule>
          <xm:sqref>Q353</xm:sqref>
        </x14:conditionalFormatting>
        <x14:conditionalFormatting xmlns:xm="http://schemas.microsoft.com/office/excel/2006/main">
          <x14:cfRule type="expression" priority="7534" id="{316FCC8D-21B2-427A-B83B-6E0FE0393375}">
            <xm:f>AND(IF(Q352&gt;'F:\Users\norela.briceno\Documents\Plan de acción\Plan Accion 2018\[Plan Accion Integrado ADRES Vigencia 2018 con Cuadro de Mando V6..xlsx]Plan de Accion 2018'!#REF!,Q352&lt;&gt;¨N/A¨))</xm:f>
            <x14:dxf>
              <fill>
                <patternFill>
                  <bgColor theme="1" tint="0.499984740745262"/>
                </patternFill>
              </fill>
            </x14:dxf>
          </x14:cfRule>
          <x14:cfRule type="expression" priority="7535" stopIfTrue="1" id="{4D7C8248-86B3-4DAF-89FE-DF5CC3BCC76F}">
            <xm:f>AND(IF(Q352='F:\Users\norela.briceno\Documents\Plan de acción\Plan Accion 2018\[Plan Accion Integrado ADRES Vigencia 2018 con Cuadro de Mando V6..xlsx]Plan de Accion 2018'!#REF!,Q352&lt;&gt;"N/A"))</xm:f>
            <x14:dxf>
              <fill>
                <patternFill>
                  <bgColor rgb="FF00B050"/>
                </patternFill>
              </fill>
            </x14:dxf>
          </x14:cfRule>
          <x14:cfRule type="expression" priority="7536" stopIfTrue="1" id="{B642CCC0-6F7C-4C23-A9E1-BE408E5C54AA}">
            <xm:f>AND(IF(Q352&lt;'F:\Users\norela.briceno\Documents\Plan de acción\Plan Accion 2018\[Plan Accion Integrado ADRES Vigencia 2018 con Cuadro de Mando V6..xlsx]Plan de Accion 2018'!#REF!,Q352&lt;&gt;"N/A"))</xm:f>
            <x14:dxf>
              <fill>
                <patternFill>
                  <bgColor indexed="10"/>
                </patternFill>
              </fill>
            </x14:dxf>
          </x14:cfRule>
          <xm:sqref>Q352</xm:sqref>
        </x14:conditionalFormatting>
        <x14:conditionalFormatting xmlns:xm="http://schemas.microsoft.com/office/excel/2006/main">
          <x14:cfRule type="expression" priority="7513" id="{D7ED292D-60E2-4CB8-ADFD-EAE965422B22}">
            <xm:f>AND(IF(Q348&gt;'F:\Users\norela.briceno\Documents\Plan de acción\Plan Accion 2018\[Plan Accion Integrado ADRES Vigencia 2018 con Cuadro de Mando V6..xlsx]Plan de Accion 2018'!#REF!,Q348&lt;&gt;¨N/A¨))</xm:f>
            <x14:dxf>
              <fill>
                <patternFill>
                  <bgColor theme="1" tint="0.499984740745262"/>
                </patternFill>
              </fill>
            </x14:dxf>
          </x14:cfRule>
          <x14:cfRule type="expression" priority="7514" stopIfTrue="1" id="{0D9BE612-2712-4552-837E-5A01C1D9A53A}">
            <xm:f>AND(IF(Q348='F:\Users\norela.briceno\Documents\Plan de acción\Plan Accion 2018\[Plan Accion Integrado ADRES Vigencia 2018 con Cuadro de Mando V6..xlsx]Plan de Accion 2018'!#REF!,Q348&lt;&gt;"N/A"))</xm:f>
            <x14:dxf>
              <fill>
                <patternFill>
                  <bgColor rgb="FF00B050"/>
                </patternFill>
              </fill>
            </x14:dxf>
          </x14:cfRule>
          <x14:cfRule type="expression" priority="7515" stopIfTrue="1" id="{FFC3F677-8073-46ED-BC87-A8B393F04338}">
            <xm:f>AND(IF(Q348&lt;'F:\Users\norela.briceno\Documents\Plan de acción\Plan Accion 2018\[Plan Accion Integrado ADRES Vigencia 2018 con Cuadro de Mando V6..xlsx]Plan de Accion 2018'!#REF!,Q348&lt;&gt;"N/A"))</xm:f>
            <x14:dxf>
              <fill>
                <patternFill>
                  <bgColor indexed="10"/>
                </patternFill>
              </fill>
            </x14:dxf>
          </x14:cfRule>
          <xm:sqref>Q348</xm:sqref>
        </x14:conditionalFormatting>
        <x14:conditionalFormatting xmlns:xm="http://schemas.microsoft.com/office/excel/2006/main">
          <x14:cfRule type="expression" priority="7510" id="{FEA3261B-BCAF-468B-BEF8-8A4975589B26}">
            <xm:f>AND(IF(Q346&gt;'F:\Users\norela.briceno\Documents\Plan de acción\Plan Accion 2018\[Plan Accion Integrado ADRES Vigencia 2018 con Cuadro de Mando V6..xlsx]Plan de Accion 2018'!#REF!,Q346&lt;&gt;¨N/A¨))</xm:f>
            <x14:dxf>
              <fill>
                <patternFill>
                  <bgColor theme="1" tint="0.499984740745262"/>
                </patternFill>
              </fill>
            </x14:dxf>
          </x14:cfRule>
          <x14:cfRule type="expression" priority="7511" stopIfTrue="1" id="{77DD2168-BA2D-4D42-9353-FF64ACE1B151}">
            <xm:f>AND(IF(Q346='F:\Users\norela.briceno\Documents\Plan de acción\Plan Accion 2018\[Plan Accion Integrado ADRES Vigencia 2018 con Cuadro de Mando V6..xlsx]Plan de Accion 2018'!#REF!,Q346&lt;&gt;"N/A"))</xm:f>
            <x14:dxf>
              <fill>
                <patternFill>
                  <bgColor rgb="FF00B050"/>
                </patternFill>
              </fill>
            </x14:dxf>
          </x14:cfRule>
          <x14:cfRule type="expression" priority="7512" stopIfTrue="1" id="{B3DA84CC-99E8-47F9-84D3-0B836DE9ED97}">
            <xm:f>AND(IF(Q346&lt;'F:\Users\norela.briceno\Documents\Plan de acción\Plan Accion 2018\[Plan Accion Integrado ADRES Vigencia 2018 con Cuadro de Mando V6..xlsx]Plan de Accion 2018'!#REF!,Q346&lt;&gt;"N/A"))</xm:f>
            <x14:dxf>
              <fill>
                <patternFill>
                  <bgColor indexed="10"/>
                </patternFill>
              </fill>
            </x14:dxf>
          </x14:cfRule>
          <xm:sqref>Q346</xm:sqref>
        </x14:conditionalFormatting>
        <x14:conditionalFormatting xmlns:xm="http://schemas.microsoft.com/office/excel/2006/main">
          <x14:cfRule type="expression" priority="7465" id="{CE39ECD4-818F-4457-882A-5D9B07DF7FA2}">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7466" stopIfTrue="1" id="{6B8F79EB-1A30-4FD1-A2DE-754E6CEB7DD9}">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7467" stopIfTrue="1" id="{A2545940-2C01-454F-B03E-55F5226AD51F}">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7462" id="{339DBA48-3968-48AB-8182-22EBCDAF47E4}">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7463" stopIfTrue="1" id="{1527EA26-912E-48C2-BD74-4C9670F86E2B}">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7464" stopIfTrue="1" id="{8F824863-50E2-46F5-ADA2-1A065BEC9A78}">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7459" id="{629B2119-3616-4811-93C2-E10A58EAA988}">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7460" stopIfTrue="1" id="{39EBF56C-1F6C-40DA-8E93-E369D99879CC}">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7461" stopIfTrue="1" id="{6522A9CF-2DC0-419F-B98F-F0B761953E84}">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7456" id="{EC215BAD-74CE-4B46-BD57-BA25A343D0FF}">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7457" stopIfTrue="1" id="{A11A15C1-BF24-499C-B987-9EE46106C759}">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7458" stopIfTrue="1" id="{D867A8B7-430D-4D54-8AD4-9D1B22BD0F1E}">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7453" id="{CBA8902D-B5F8-4878-990F-C22E57FCD105}">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7454" stopIfTrue="1" id="{001102EA-C33C-4383-B312-DBE34FFCC61D}">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7455" stopIfTrue="1" id="{6956BE61-4C30-47C7-97AC-8D4A9DD3AE56}">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7450" id="{1CF7E5CE-0229-42B1-BD02-CF78083ED6F0}">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7451" stopIfTrue="1" id="{A8EDFA31-5282-41BA-8F49-08014DDF273C}">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7452" stopIfTrue="1" id="{E1B69B8D-1B49-40EE-80BD-00E5EA5366FD}">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7447" id="{D001B3AF-A742-4CC9-8ADE-FAF3B70A50B9}">
            <xm:f>AND(IF(Q309&gt;'F:\Users\norela.briceno\Documents\Plan de acción\Plan Accion 2018\[Plan Accion Integrado ADRES Vigencia 2018 con Cuadro de Mando V6..xlsx]Plan de Accion 2018'!#REF!,Q309&lt;&gt;¨N/A¨))</xm:f>
            <x14:dxf>
              <fill>
                <patternFill>
                  <bgColor theme="1" tint="0.499984740745262"/>
                </patternFill>
              </fill>
            </x14:dxf>
          </x14:cfRule>
          <x14:cfRule type="expression" priority="7448" stopIfTrue="1" id="{DAEAB4D4-0B75-4EB8-A85A-9A586FC7D190}">
            <xm:f>AND(IF(Q309='F:\Users\norela.briceno\Documents\Plan de acción\Plan Accion 2018\[Plan Accion Integrado ADRES Vigencia 2018 con Cuadro de Mando V6..xlsx]Plan de Accion 2018'!#REF!,Q309&lt;&gt;"N/A"))</xm:f>
            <x14:dxf>
              <fill>
                <patternFill>
                  <bgColor rgb="FF00B050"/>
                </patternFill>
              </fill>
            </x14:dxf>
          </x14:cfRule>
          <x14:cfRule type="expression" priority="7449" stopIfTrue="1" id="{18ADDED9-EAEF-4FD7-AB9D-550DC0E5AEF5}">
            <xm:f>AND(IF(Q309&lt;'F:\Users\norela.briceno\Documents\Plan de acción\Plan Accion 2018\[Plan Accion Integrado ADRES Vigencia 2018 con Cuadro de Mando V6..xlsx]Plan de Accion 2018'!#REF!,Q309&lt;&gt;"N/A"))</xm:f>
            <x14:dxf>
              <fill>
                <patternFill>
                  <bgColor indexed="10"/>
                </patternFill>
              </fill>
            </x14:dxf>
          </x14:cfRule>
          <xm:sqref>Q309</xm:sqref>
        </x14:conditionalFormatting>
        <x14:conditionalFormatting xmlns:xm="http://schemas.microsoft.com/office/excel/2006/main">
          <x14:cfRule type="expression" priority="7444" id="{1BA629DF-D098-47A8-AED2-B99E9E24792C}">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7445" stopIfTrue="1" id="{C5E87288-9EDD-44C8-8732-E3C3D4B3F804}">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7446" stopIfTrue="1" id="{ADFA4F46-2B57-4C78-8C44-342DFEBC7823}">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7441" id="{F66FB7F0-D91C-4E7C-90E8-6DE049EE4C91}">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7442" stopIfTrue="1" id="{D1AF330E-877A-475E-8D55-18444C452D2D}">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7443" stopIfTrue="1" id="{3DE237D6-406A-447F-B189-94BF06F670DF}">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7432" id="{C076C11C-6F27-4A31-BD9D-D76B7241ED11}">
            <xm:f>AND(IF(Q317&gt;'F:\Users\norela.briceno\Documents\Plan de acción\Plan Accion 2018\[Plan Accion Integrado ADRES Vigencia 2018 con Cuadro de Mando V6..xlsx]Plan de Accion 2018'!#REF!,Q317&lt;&gt;¨N/A¨))</xm:f>
            <x14:dxf>
              <fill>
                <patternFill>
                  <bgColor theme="1" tint="0.499984740745262"/>
                </patternFill>
              </fill>
            </x14:dxf>
          </x14:cfRule>
          <x14:cfRule type="expression" priority="7433" stopIfTrue="1" id="{AD069A11-BBD9-47C0-93B6-5C910CE5B506}">
            <xm:f>AND(IF(Q317='F:\Users\norela.briceno\Documents\Plan de acción\Plan Accion 2018\[Plan Accion Integrado ADRES Vigencia 2018 con Cuadro de Mando V6..xlsx]Plan de Accion 2018'!#REF!,Q317&lt;&gt;"N/A"))</xm:f>
            <x14:dxf>
              <fill>
                <patternFill>
                  <bgColor rgb="FF00B050"/>
                </patternFill>
              </fill>
            </x14:dxf>
          </x14:cfRule>
          <x14:cfRule type="expression" priority="7434" stopIfTrue="1" id="{612AEF15-7C4A-4335-BD6F-7E01486E5FFC}">
            <xm:f>AND(IF(Q317&lt;'F:\Users\norela.briceno\Documents\Plan de acción\Plan Accion 2018\[Plan Accion Integrado ADRES Vigencia 2018 con Cuadro de Mando V6..xlsx]Plan de Accion 2018'!#REF!,Q317&lt;&gt;"N/A"))</xm:f>
            <x14:dxf>
              <fill>
                <patternFill>
                  <bgColor indexed="10"/>
                </patternFill>
              </fill>
            </x14:dxf>
          </x14:cfRule>
          <xm:sqref>Q317</xm:sqref>
        </x14:conditionalFormatting>
        <x14:conditionalFormatting xmlns:xm="http://schemas.microsoft.com/office/excel/2006/main">
          <x14:cfRule type="expression" priority="7429" id="{6AEC11B5-A80D-47D6-96D7-DD3D6800726D}">
            <xm:f>AND(IF(Q318&gt;'F:\Users\norela.briceno\Documents\Plan de acción\Plan Accion 2018\[Plan Accion Integrado ADRES Vigencia 2018 con Cuadro de Mando V6..xlsx]Plan de Accion 2018'!#REF!,Q318&lt;&gt;¨N/A¨))</xm:f>
            <x14:dxf>
              <fill>
                <patternFill>
                  <bgColor theme="1" tint="0.499984740745262"/>
                </patternFill>
              </fill>
            </x14:dxf>
          </x14:cfRule>
          <x14:cfRule type="expression" priority="7430" stopIfTrue="1" id="{51B08F18-41D3-4E14-A638-FF5A8B6C74B1}">
            <xm:f>AND(IF(Q318='F:\Users\norela.briceno\Documents\Plan de acción\Plan Accion 2018\[Plan Accion Integrado ADRES Vigencia 2018 con Cuadro de Mando V6..xlsx]Plan de Accion 2018'!#REF!,Q318&lt;&gt;"N/A"))</xm:f>
            <x14:dxf>
              <fill>
                <patternFill>
                  <bgColor rgb="FF00B050"/>
                </patternFill>
              </fill>
            </x14:dxf>
          </x14:cfRule>
          <x14:cfRule type="expression" priority="7431" stopIfTrue="1" id="{B1D06204-B8BE-4449-BAB7-57BFB5D051CB}">
            <xm:f>AND(IF(Q318&lt;'F:\Users\norela.briceno\Documents\Plan de acción\Plan Accion 2018\[Plan Accion Integrado ADRES Vigencia 2018 con Cuadro de Mando V6..xlsx]Plan de Accion 2018'!#REF!,Q318&lt;&gt;"N/A"))</xm:f>
            <x14:dxf>
              <fill>
                <patternFill>
                  <bgColor indexed="10"/>
                </patternFill>
              </fill>
            </x14:dxf>
          </x14:cfRule>
          <xm:sqref>Q318</xm:sqref>
        </x14:conditionalFormatting>
        <x14:conditionalFormatting xmlns:xm="http://schemas.microsoft.com/office/excel/2006/main">
          <x14:cfRule type="expression" priority="7417" id="{6F2A72DA-1431-43EA-BA85-CC54EFE9E5D0}">
            <xm:f>AND(IF(Q319&gt;'F:\Users\norela.briceno\Documents\Plan de acción\Plan Accion 2018\[Plan Accion Integrado ADRES Vigencia 2018 con Cuadro de Mando V6..xlsx]Plan de Accion 2018'!#REF!,Q319&lt;&gt;¨N/A¨))</xm:f>
            <x14:dxf>
              <fill>
                <patternFill>
                  <bgColor theme="1" tint="0.499984740745262"/>
                </patternFill>
              </fill>
            </x14:dxf>
          </x14:cfRule>
          <x14:cfRule type="expression" priority="7418" stopIfTrue="1" id="{4B8EB4DA-A838-4F6F-A289-5504EE923DA9}">
            <xm:f>AND(IF(Q319='F:\Users\norela.briceno\Documents\Plan de acción\Plan Accion 2018\[Plan Accion Integrado ADRES Vigencia 2018 con Cuadro de Mando V6..xlsx]Plan de Accion 2018'!#REF!,Q319&lt;&gt;"N/A"))</xm:f>
            <x14:dxf>
              <fill>
                <patternFill>
                  <bgColor rgb="FF00B050"/>
                </patternFill>
              </fill>
            </x14:dxf>
          </x14:cfRule>
          <x14:cfRule type="expression" priority="7419" stopIfTrue="1" id="{895543DC-106B-4041-B76A-D8E9471C03AD}">
            <xm:f>AND(IF(Q319&lt;'F:\Users\norela.briceno\Documents\Plan de acción\Plan Accion 2018\[Plan Accion Integrado ADRES Vigencia 2018 con Cuadro de Mando V6..xlsx]Plan de Accion 2018'!#REF!,Q319&lt;&gt;"N/A"))</xm:f>
            <x14:dxf>
              <fill>
                <patternFill>
                  <bgColor indexed="10"/>
                </patternFill>
              </fill>
            </x14:dxf>
          </x14:cfRule>
          <xm:sqref>Q319</xm:sqref>
        </x14:conditionalFormatting>
        <x14:conditionalFormatting xmlns:xm="http://schemas.microsoft.com/office/excel/2006/main">
          <x14:cfRule type="expression" priority="7414" id="{FDC61587-0526-49C7-91D2-247A71D3B9D2}">
            <xm:f>AND(IF(Q320&gt;'F:\Users\norela.briceno\Documents\Plan de acción\Plan Accion 2018\[Plan Accion Integrado ADRES Vigencia 2018 con Cuadro de Mando V6..xlsx]Plan de Accion 2018'!#REF!,Q320&lt;&gt;¨N/A¨))</xm:f>
            <x14:dxf>
              <fill>
                <patternFill>
                  <bgColor theme="1" tint="0.499984740745262"/>
                </patternFill>
              </fill>
            </x14:dxf>
          </x14:cfRule>
          <x14:cfRule type="expression" priority="7415" stopIfTrue="1" id="{CEE3E200-B3C8-435B-BE39-DD99F9567178}">
            <xm:f>AND(IF(Q320='F:\Users\norela.briceno\Documents\Plan de acción\Plan Accion 2018\[Plan Accion Integrado ADRES Vigencia 2018 con Cuadro de Mando V6..xlsx]Plan de Accion 2018'!#REF!,Q320&lt;&gt;"N/A"))</xm:f>
            <x14:dxf>
              <fill>
                <patternFill>
                  <bgColor rgb="FF00B050"/>
                </patternFill>
              </fill>
            </x14:dxf>
          </x14:cfRule>
          <x14:cfRule type="expression" priority="7416" stopIfTrue="1" id="{02FDE205-7992-4BC8-8F4B-4FFC88D47C78}">
            <xm:f>AND(IF(Q320&lt;'F:\Users\norela.briceno\Documents\Plan de acción\Plan Accion 2018\[Plan Accion Integrado ADRES Vigencia 2018 con Cuadro de Mando V6..xlsx]Plan de Accion 2018'!#REF!,Q320&lt;&gt;"N/A"))</xm:f>
            <x14:dxf>
              <fill>
                <patternFill>
                  <bgColor indexed="10"/>
                </patternFill>
              </fill>
            </x14:dxf>
          </x14:cfRule>
          <xm:sqref>Q320</xm:sqref>
        </x14:conditionalFormatting>
        <x14:conditionalFormatting xmlns:xm="http://schemas.microsoft.com/office/excel/2006/main">
          <x14:cfRule type="expression" priority="7411" id="{6EF11A64-4931-4EB8-AFDE-699ABCF2D0C9}">
            <xm:f>AND(IF(Q321&gt;'F:\Users\norela.briceno\Documents\Plan de acción\Plan Accion 2018\[Plan Accion Integrado ADRES Vigencia 2018 con Cuadro de Mando V6..xlsx]Plan de Accion 2018'!#REF!,Q321&lt;&gt;¨N/A¨))</xm:f>
            <x14:dxf>
              <fill>
                <patternFill>
                  <bgColor theme="1" tint="0.499984740745262"/>
                </patternFill>
              </fill>
            </x14:dxf>
          </x14:cfRule>
          <x14:cfRule type="expression" priority="7412" stopIfTrue="1" id="{1D2202C9-959A-42C9-B044-F233BC63559D}">
            <xm:f>AND(IF(Q321='F:\Users\norela.briceno\Documents\Plan de acción\Plan Accion 2018\[Plan Accion Integrado ADRES Vigencia 2018 con Cuadro de Mando V6..xlsx]Plan de Accion 2018'!#REF!,Q321&lt;&gt;"N/A"))</xm:f>
            <x14:dxf>
              <fill>
                <patternFill>
                  <bgColor rgb="FF00B050"/>
                </patternFill>
              </fill>
            </x14:dxf>
          </x14:cfRule>
          <x14:cfRule type="expression" priority="7413" stopIfTrue="1" id="{B759A0BC-51FA-428E-9212-C57FA34BFA1D}">
            <xm:f>AND(IF(Q321&lt;'F:\Users\norela.briceno\Documents\Plan de acción\Plan Accion 2018\[Plan Accion Integrado ADRES Vigencia 2018 con Cuadro de Mando V6..xlsx]Plan de Accion 2018'!#REF!,Q321&lt;&gt;"N/A"))</xm:f>
            <x14:dxf>
              <fill>
                <patternFill>
                  <bgColor indexed="10"/>
                </patternFill>
              </fill>
            </x14:dxf>
          </x14:cfRule>
          <xm:sqref>Q321</xm:sqref>
        </x14:conditionalFormatting>
        <x14:conditionalFormatting xmlns:xm="http://schemas.microsoft.com/office/excel/2006/main">
          <x14:cfRule type="expression" priority="7408" id="{78870969-2676-4334-B6A5-107716AB3AAB}">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7409" stopIfTrue="1" id="{148E8CB6-3096-4F6C-8945-E12663C2E2A6}">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7410" stopIfTrue="1" id="{B2772353-2E38-462D-BEAE-68CBF70E6EA9}">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7405" id="{D433D182-5795-4B5F-9B84-D6335A597D09}">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7406" stopIfTrue="1" id="{7A791112-F4F8-44D1-A431-FCDE34449F21}">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7407" stopIfTrue="1" id="{1FC7B3B2-7E16-42EC-90D2-2B5C7E6A71B5}">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7402" id="{3F47F11B-A0E0-4FC1-A8E9-74EA80AF4491}">
            <xm:f>AND(IF(Q305&gt;'F:\Users\norela.briceno\Documents\Plan de acción\Plan Accion 2018\[Plan Accion Integrado ADRES Vigencia 2018 con Cuadro de Mando V6..xlsx]Plan de Accion 2018'!#REF!,Q305&lt;&gt;¨N/A¨))</xm:f>
            <x14:dxf>
              <fill>
                <patternFill>
                  <bgColor theme="1" tint="0.499984740745262"/>
                </patternFill>
              </fill>
            </x14:dxf>
          </x14:cfRule>
          <x14:cfRule type="expression" priority="7403" stopIfTrue="1" id="{97557E00-2127-46B9-9524-69D3C113E016}">
            <xm:f>AND(IF(Q305='F:\Users\norela.briceno\Documents\Plan de acción\Plan Accion 2018\[Plan Accion Integrado ADRES Vigencia 2018 con Cuadro de Mando V6..xlsx]Plan de Accion 2018'!#REF!,Q305&lt;&gt;"N/A"))</xm:f>
            <x14:dxf>
              <fill>
                <patternFill>
                  <bgColor rgb="FF00B050"/>
                </patternFill>
              </fill>
            </x14:dxf>
          </x14:cfRule>
          <x14:cfRule type="expression" priority="7404" stopIfTrue="1" id="{59DA1F39-23A0-4C00-90F0-73812C381242}">
            <xm:f>AND(IF(Q305&lt;'F:\Users\norela.briceno\Documents\Plan de acción\Plan Accion 2018\[Plan Accion Integrado ADRES Vigencia 2018 con Cuadro de Mando V6..xlsx]Plan de Accion 2018'!#REF!,Q305&lt;&gt;"N/A"))</xm:f>
            <x14:dxf>
              <fill>
                <patternFill>
                  <bgColor indexed="10"/>
                </patternFill>
              </fill>
            </x14:dxf>
          </x14:cfRule>
          <xm:sqref>Q305</xm:sqref>
        </x14:conditionalFormatting>
        <x14:conditionalFormatting xmlns:xm="http://schemas.microsoft.com/office/excel/2006/main">
          <x14:cfRule type="expression" priority="7399" id="{A59F1C1E-AC9D-4EF5-90F3-BD74D27D7112}">
            <xm:f>AND(IF(Q303&gt;'F:\Users\norela.briceno\Documents\Plan de acción\Plan Accion 2018\[Plan Accion Integrado ADRES Vigencia 2018 con Cuadro de Mando V6..xlsx]Plan de Accion 2018'!#REF!,Q303&lt;&gt;¨N/A¨))</xm:f>
            <x14:dxf>
              <fill>
                <patternFill>
                  <bgColor theme="1" tint="0.499984740745262"/>
                </patternFill>
              </fill>
            </x14:dxf>
          </x14:cfRule>
          <x14:cfRule type="expression" priority="7400" stopIfTrue="1" id="{08CE8891-D731-4A64-ABF2-4D8EEBFB38DE}">
            <xm:f>AND(IF(Q303='F:\Users\norela.briceno\Documents\Plan de acción\Plan Accion 2018\[Plan Accion Integrado ADRES Vigencia 2018 con Cuadro de Mando V6..xlsx]Plan de Accion 2018'!#REF!,Q303&lt;&gt;"N/A"))</xm:f>
            <x14:dxf>
              <fill>
                <patternFill>
                  <bgColor rgb="FF00B050"/>
                </patternFill>
              </fill>
            </x14:dxf>
          </x14:cfRule>
          <x14:cfRule type="expression" priority="7401" stopIfTrue="1" id="{60FCF353-A100-4D14-8914-D5EB581F1F02}">
            <xm:f>AND(IF(Q303&lt;'F:\Users\norela.briceno\Documents\Plan de acción\Plan Accion 2018\[Plan Accion Integrado ADRES Vigencia 2018 con Cuadro de Mando V6..xlsx]Plan de Accion 2018'!#REF!,Q303&lt;&gt;"N/A"))</xm:f>
            <x14:dxf>
              <fill>
                <patternFill>
                  <bgColor indexed="10"/>
                </patternFill>
              </fill>
            </x14:dxf>
          </x14:cfRule>
          <xm:sqref>Q303</xm:sqref>
        </x14:conditionalFormatting>
        <x14:conditionalFormatting xmlns:xm="http://schemas.microsoft.com/office/excel/2006/main">
          <x14:cfRule type="expression" priority="7396" id="{27E32717-1CFB-4A6D-801D-036E26DCD8DD}">
            <xm:f>AND(IF(Q302&gt;'F:\Users\norela.briceno\Documents\Plan de acción\Plan Accion 2018\[Plan Accion Integrado ADRES Vigencia 2018 con Cuadro de Mando V6..xlsx]Plan de Accion 2018'!#REF!,Q302&lt;&gt;¨N/A¨))</xm:f>
            <x14:dxf>
              <fill>
                <patternFill>
                  <bgColor theme="1" tint="0.499984740745262"/>
                </patternFill>
              </fill>
            </x14:dxf>
          </x14:cfRule>
          <x14:cfRule type="expression" priority="7397" stopIfTrue="1" id="{F9865CB0-E4E8-4496-A775-5283956E155F}">
            <xm:f>AND(IF(Q302='F:\Users\norela.briceno\Documents\Plan de acción\Plan Accion 2018\[Plan Accion Integrado ADRES Vigencia 2018 con Cuadro de Mando V6..xlsx]Plan de Accion 2018'!#REF!,Q302&lt;&gt;"N/A"))</xm:f>
            <x14:dxf>
              <fill>
                <patternFill>
                  <bgColor rgb="FF00B050"/>
                </patternFill>
              </fill>
            </x14:dxf>
          </x14:cfRule>
          <x14:cfRule type="expression" priority="7398" stopIfTrue="1" id="{5C23B08C-AB62-44CB-B23B-150E9D2D4E4D}">
            <xm:f>AND(IF(Q302&lt;'F:\Users\norela.briceno\Documents\Plan de acción\Plan Accion 2018\[Plan Accion Integrado ADRES Vigencia 2018 con Cuadro de Mando V6..xlsx]Plan de Accion 2018'!#REF!,Q302&lt;&gt;"N/A"))</xm:f>
            <x14:dxf>
              <fill>
                <patternFill>
                  <bgColor indexed="10"/>
                </patternFill>
              </fill>
            </x14:dxf>
          </x14:cfRule>
          <xm:sqref>Q302</xm:sqref>
        </x14:conditionalFormatting>
        <x14:conditionalFormatting xmlns:xm="http://schemas.microsoft.com/office/excel/2006/main">
          <x14:cfRule type="expression" priority="7393" id="{4D7EE858-014C-4875-AAAE-B202E2C2ADF7}">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7394" stopIfTrue="1" id="{922A55D2-2043-4DEC-9C3F-2EAE835C8F87}">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7395" stopIfTrue="1" id="{0688A47A-1666-4CC6-ACBA-C4B48236E1FF}">
            <xm:f>AND(IF(Q301&lt;'F:\Users\norela.briceno\Documents\Plan de acción\Plan Accion 2018\[Plan Accion Integrado ADRES Vigencia 2018 con Cuadro de Mando V6..xlsx]Plan de Accion 2018'!#REF!,Q301&lt;&gt;"N/A"))</xm:f>
            <x14:dxf>
              <fill>
                <patternFill>
                  <bgColor indexed="10"/>
                </patternFill>
              </fill>
            </x14:dxf>
          </x14:cfRule>
          <xm:sqref>Q301</xm:sqref>
        </x14:conditionalFormatting>
        <x14:conditionalFormatting xmlns:xm="http://schemas.microsoft.com/office/excel/2006/main">
          <x14:cfRule type="expression" priority="7387" id="{7AFF9AA7-A0B6-4133-876A-57FC8E9BE616}">
            <xm:f>AND(IF(Q297&gt;'F:\Users\norela.briceno\Documents\Plan de acción\Plan Accion 2018\[Plan Accion Integrado ADRES Vigencia 2018 con Cuadro de Mando V6..xlsx]Plan de Accion 2018'!#REF!,Q297&lt;&gt;¨N/A¨))</xm:f>
            <x14:dxf>
              <fill>
                <patternFill>
                  <bgColor theme="1" tint="0.499984740745262"/>
                </patternFill>
              </fill>
            </x14:dxf>
          </x14:cfRule>
          <x14:cfRule type="expression" priority="7388" stopIfTrue="1" id="{DE48BC5C-4574-430E-96AD-5A82AD0476E8}">
            <xm:f>AND(IF(Q297='F:\Users\norela.briceno\Documents\Plan de acción\Plan Accion 2018\[Plan Accion Integrado ADRES Vigencia 2018 con Cuadro de Mando V6..xlsx]Plan de Accion 2018'!#REF!,Q297&lt;&gt;"N/A"))</xm:f>
            <x14:dxf>
              <fill>
                <patternFill>
                  <bgColor rgb="FF00B050"/>
                </patternFill>
              </fill>
            </x14:dxf>
          </x14:cfRule>
          <x14:cfRule type="expression" priority="7389" stopIfTrue="1" id="{6A2DC972-8E6C-42FA-B999-5CC8EB8B3C08}">
            <xm:f>AND(IF(Q297&lt;'F:\Users\norela.briceno\Documents\Plan de acción\Plan Accion 2018\[Plan Accion Integrado ADRES Vigencia 2018 con Cuadro de Mando V6..xlsx]Plan de Accion 2018'!#REF!,Q297&lt;&gt;"N/A"))</xm:f>
            <x14:dxf>
              <fill>
                <patternFill>
                  <bgColor indexed="10"/>
                </patternFill>
              </fill>
            </x14:dxf>
          </x14:cfRule>
          <xm:sqref>Q297</xm:sqref>
        </x14:conditionalFormatting>
        <x14:conditionalFormatting xmlns:xm="http://schemas.microsoft.com/office/excel/2006/main">
          <x14:cfRule type="expression" priority="7384" id="{DB8AB4B3-13B8-4731-9DEC-2695249ED57D}">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7385" stopIfTrue="1" id="{ABED446F-2E3D-4A97-995E-0CB7411240C9}">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7386" stopIfTrue="1" id="{AF719678-3B89-4B4D-870B-BA4633711913}">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7381" id="{D8D87B07-06E4-4634-8318-052D5707A2A7}">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7382" stopIfTrue="1" id="{E7408FD0-9A96-46A2-AADB-444923134D45}">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7383" stopIfTrue="1" id="{A3E656B9-301D-424B-AA6D-2EE250F91CAA}">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7378" id="{B7ADEEF5-E7D6-4137-ACFF-2CBBEA6CFEE5}">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7379" stopIfTrue="1" id="{E19F388A-8885-4A14-B1FF-AB0070E64F29}">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7380" stopIfTrue="1" id="{412F2353-869D-4BA4-A631-CFF4813517DC}">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7375" id="{836EB339-266D-4EDC-B4BF-A243E5402E3B}">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7376" stopIfTrue="1" id="{82FB3BC5-344D-41EC-B66B-C2F86C4CD312}">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7377" stopIfTrue="1" id="{194B1924-8796-44CA-A59F-42D34CB97208}">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7372" id="{218B9540-79A0-4228-AD96-8FB607CE9B34}">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7373" stopIfTrue="1" id="{4217F48A-DA59-46CA-AABB-9861B878AB3E}">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7374" stopIfTrue="1" id="{248DE532-9BC9-4E49-A751-17C8B2FCCD1E}">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7369" id="{E3B166DC-A35E-43FE-9DF6-AA3E76F76840}">
            <xm:f>AND(IF(Q288&gt;'F:\Users\norela.briceno\Documents\Plan de acción\Plan Accion 2018\[Plan Accion Integrado ADRES Vigencia 2018 con Cuadro de Mando V6..xlsx]Plan de Accion 2018'!#REF!,Q288&lt;&gt;¨N/A¨))</xm:f>
            <x14:dxf>
              <fill>
                <patternFill>
                  <bgColor theme="1" tint="0.499984740745262"/>
                </patternFill>
              </fill>
            </x14:dxf>
          </x14:cfRule>
          <x14:cfRule type="expression" priority="7370" stopIfTrue="1" id="{C960ADBB-A933-40F6-A6DF-9EC7A66CB3A6}">
            <xm:f>AND(IF(Q288='F:\Users\norela.briceno\Documents\Plan de acción\Plan Accion 2018\[Plan Accion Integrado ADRES Vigencia 2018 con Cuadro de Mando V6..xlsx]Plan de Accion 2018'!#REF!,Q288&lt;&gt;"N/A"))</xm:f>
            <x14:dxf>
              <fill>
                <patternFill>
                  <bgColor rgb="FF00B050"/>
                </patternFill>
              </fill>
            </x14:dxf>
          </x14:cfRule>
          <x14:cfRule type="expression" priority="7371" stopIfTrue="1" id="{7C8DEBA2-D849-4958-948C-20CA3BBD7D12}">
            <xm:f>AND(IF(Q288&lt;'F:\Users\norela.briceno\Documents\Plan de acción\Plan Accion 2018\[Plan Accion Integrado ADRES Vigencia 2018 con Cuadro de Mando V6..xlsx]Plan de Accion 2018'!#REF!,Q288&lt;&gt;"N/A"))</xm:f>
            <x14:dxf>
              <fill>
                <patternFill>
                  <bgColor indexed="10"/>
                </patternFill>
              </fill>
            </x14:dxf>
          </x14:cfRule>
          <xm:sqref>Q288</xm:sqref>
        </x14:conditionalFormatting>
        <x14:conditionalFormatting xmlns:xm="http://schemas.microsoft.com/office/excel/2006/main">
          <x14:cfRule type="expression" priority="7366" id="{32ADA052-E3BA-4D2C-8C24-21EFFE081894}">
            <xm:f>AND(IF(Q287&gt;'F:\Users\norela.briceno\Documents\Plan de acción\Plan Accion 2018\[Plan Accion Integrado ADRES Vigencia 2018 con Cuadro de Mando V6..xlsx]Plan de Accion 2018'!#REF!,Q287&lt;&gt;¨N/A¨))</xm:f>
            <x14:dxf>
              <fill>
                <patternFill>
                  <bgColor theme="1" tint="0.499984740745262"/>
                </patternFill>
              </fill>
            </x14:dxf>
          </x14:cfRule>
          <x14:cfRule type="expression" priority="7367" stopIfTrue="1" id="{72E3B2A0-F278-45AC-BD84-14B1FE3AE71C}">
            <xm:f>AND(IF(Q287='F:\Users\norela.briceno\Documents\Plan de acción\Plan Accion 2018\[Plan Accion Integrado ADRES Vigencia 2018 con Cuadro de Mando V6..xlsx]Plan de Accion 2018'!#REF!,Q287&lt;&gt;"N/A"))</xm:f>
            <x14:dxf>
              <fill>
                <patternFill>
                  <bgColor rgb="FF00B050"/>
                </patternFill>
              </fill>
            </x14:dxf>
          </x14:cfRule>
          <x14:cfRule type="expression" priority="7368" stopIfTrue="1" id="{78B3DF96-C2D6-4004-BEFD-2381DF887409}">
            <xm:f>AND(IF(Q287&lt;'F:\Users\norela.briceno\Documents\Plan de acción\Plan Accion 2018\[Plan Accion Integrado ADRES Vigencia 2018 con Cuadro de Mando V6..xlsx]Plan de Accion 2018'!#REF!,Q287&lt;&gt;"N/A"))</xm:f>
            <x14:dxf>
              <fill>
                <patternFill>
                  <bgColor indexed="10"/>
                </patternFill>
              </fill>
            </x14:dxf>
          </x14:cfRule>
          <xm:sqref>Q287</xm:sqref>
        </x14:conditionalFormatting>
        <x14:conditionalFormatting xmlns:xm="http://schemas.microsoft.com/office/excel/2006/main">
          <x14:cfRule type="expression" priority="7363" id="{7BCCF3B7-1331-4450-996A-73EC35DDBE7D}">
            <xm:f>AND(IF(Q284&gt;'F:\Users\norela.briceno\Documents\Plan de acción\Plan Accion 2018\[Plan Accion Integrado ADRES Vigencia 2018 con Cuadro de Mando V6..xlsx]Plan de Accion 2018'!#REF!,Q284&lt;&gt;¨N/A¨))</xm:f>
            <x14:dxf>
              <fill>
                <patternFill>
                  <bgColor theme="1" tint="0.499984740745262"/>
                </patternFill>
              </fill>
            </x14:dxf>
          </x14:cfRule>
          <x14:cfRule type="expression" priority="7364" stopIfTrue="1" id="{F28E4655-CF83-467D-9D17-6607F31BBF84}">
            <xm:f>AND(IF(Q284='F:\Users\norela.briceno\Documents\Plan de acción\Plan Accion 2018\[Plan Accion Integrado ADRES Vigencia 2018 con Cuadro de Mando V6..xlsx]Plan de Accion 2018'!#REF!,Q284&lt;&gt;"N/A"))</xm:f>
            <x14:dxf>
              <fill>
                <patternFill>
                  <bgColor rgb="FF00B050"/>
                </patternFill>
              </fill>
            </x14:dxf>
          </x14:cfRule>
          <x14:cfRule type="expression" priority="7365" stopIfTrue="1" id="{93A84798-E8D1-4829-B4F5-D5ADD775C3C6}">
            <xm:f>AND(IF(Q284&lt;'F:\Users\norela.briceno\Documents\Plan de acción\Plan Accion 2018\[Plan Accion Integrado ADRES Vigencia 2018 con Cuadro de Mando V6..xlsx]Plan de Accion 2018'!#REF!,Q284&lt;&gt;"N/A"))</xm:f>
            <x14:dxf>
              <fill>
                <patternFill>
                  <bgColor indexed="10"/>
                </patternFill>
              </fill>
            </x14:dxf>
          </x14:cfRule>
          <xm:sqref>Q284</xm:sqref>
        </x14:conditionalFormatting>
        <x14:conditionalFormatting xmlns:xm="http://schemas.microsoft.com/office/excel/2006/main">
          <x14:cfRule type="expression" priority="7360" id="{9C440EF3-7860-4DD0-A0C6-F04CAC426B87}">
            <xm:f>AND(IF(Q277&gt;'F:\Users\norela.briceno\Documents\Plan de acción\Plan Accion 2018\[Plan Accion Integrado ADRES Vigencia 2018 con Cuadro de Mando V6..xlsx]Plan de Accion 2018'!#REF!,Q277&lt;&gt;¨N/A¨))</xm:f>
            <x14:dxf>
              <fill>
                <patternFill>
                  <bgColor theme="1" tint="0.499984740745262"/>
                </patternFill>
              </fill>
            </x14:dxf>
          </x14:cfRule>
          <x14:cfRule type="expression" priority="7361" stopIfTrue="1" id="{24260473-5B34-4B01-BA96-F8E288D9AA3C}">
            <xm:f>AND(IF(Q277='F:\Users\norela.briceno\Documents\Plan de acción\Plan Accion 2018\[Plan Accion Integrado ADRES Vigencia 2018 con Cuadro de Mando V6..xlsx]Plan de Accion 2018'!#REF!,Q277&lt;&gt;"N/A"))</xm:f>
            <x14:dxf>
              <fill>
                <patternFill>
                  <bgColor rgb="FF00B050"/>
                </patternFill>
              </fill>
            </x14:dxf>
          </x14:cfRule>
          <x14:cfRule type="expression" priority="7362" stopIfTrue="1" id="{FF65AB1E-3AD4-4737-99A4-67B2EDD3F345}">
            <xm:f>AND(IF(Q277&lt;'F:\Users\norela.briceno\Documents\Plan de acción\Plan Accion 2018\[Plan Accion Integrado ADRES Vigencia 2018 con Cuadro de Mando V6..xlsx]Plan de Accion 2018'!#REF!,Q277&lt;&gt;"N/A"))</xm:f>
            <x14:dxf>
              <fill>
                <patternFill>
                  <bgColor indexed="10"/>
                </patternFill>
              </fill>
            </x14:dxf>
          </x14:cfRule>
          <xm:sqref>Q277</xm:sqref>
        </x14:conditionalFormatting>
        <x14:conditionalFormatting xmlns:xm="http://schemas.microsoft.com/office/excel/2006/main">
          <x14:cfRule type="expression" priority="7357" id="{9207E794-ECF5-46D1-9A0A-9E2035C14C0D}">
            <xm:f>AND(IF(Q276&gt;'F:\Users\norela.briceno\Documents\Plan de acción\Plan Accion 2018\[Plan Accion Integrado ADRES Vigencia 2018 con Cuadro de Mando V6..xlsx]Plan de Accion 2018'!#REF!,Q276&lt;&gt;¨N/A¨))</xm:f>
            <x14:dxf>
              <fill>
                <patternFill>
                  <bgColor theme="1" tint="0.499984740745262"/>
                </patternFill>
              </fill>
            </x14:dxf>
          </x14:cfRule>
          <x14:cfRule type="expression" priority="7358" stopIfTrue="1" id="{25560152-F61D-4DCD-ADC4-601B4E25C8AA}">
            <xm:f>AND(IF(Q276='F:\Users\norela.briceno\Documents\Plan de acción\Plan Accion 2018\[Plan Accion Integrado ADRES Vigencia 2018 con Cuadro de Mando V6..xlsx]Plan de Accion 2018'!#REF!,Q276&lt;&gt;"N/A"))</xm:f>
            <x14:dxf>
              <fill>
                <patternFill>
                  <bgColor rgb="FF00B050"/>
                </patternFill>
              </fill>
            </x14:dxf>
          </x14:cfRule>
          <x14:cfRule type="expression" priority="7359" stopIfTrue="1" id="{EC45CD89-74E9-4256-B39E-B129B473C85B}">
            <xm:f>AND(IF(Q276&lt;'F:\Users\norela.briceno\Documents\Plan de acción\Plan Accion 2018\[Plan Accion Integrado ADRES Vigencia 2018 con Cuadro de Mando V6..xlsx]Plan de Accion 2018'!#REF!,Q276&lt;&gt;"N/A"))</xm:f>
            <x14:dxf>
              <fill>
                <patternFill>
                  <bgColor indexed="10"/>
                </patternFill>
              </fill>
            </x14:dxf>
          </x14:cfRule>
          <xm:sqref>Q276</xm:sqref>
        </x14:conditionalFormatting>
        <x14:conditionalFormatting xmlns:xm="http://schemas.microsoft.com/office/excel/2006/main">
          <x14:cfRule type="expression" priority="7354" id="{6267B253-9E91-4C4B-B811-0BF71BFAD79B}">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7355" stopIfTrue="1" id="{B88633DC-ED8B-4CE2-B2FF-C3A356F8E359}">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7356" stopIfTrue="1" id="{41D85693-8C8F-4719-8AF1-3F393D83E1C1}">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7351" id="{60D34CA8-AD89-4E61-B3B5-848D175BE4D4}">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7352" stopIfTrue="1" id="{F49279E3-10B3-44A0-944E-E6C46BA3F537}">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7353" stopIfTrue="1" id="{ED57B0C9-B10B-4A7E-A844-2681DD1CB460}">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7348" id="{903E05A1-7840-4A21-998A-5F7511048A08}">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7349" stopIfTrue="1" id="{CB57298C-C95E-4936-A235-3315D0B8F891}">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7350" stopIfTrue="1" id="{2154DF10-393C-4C8D-A7BD-839DEF28E8F9}">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7345" id="{4FAC7172-DDF5-4314-857D-087D51F3B164}">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7346" stopIfTrue="1" id="{2939C42F-92BD-4752-9394-AAA97521E974}">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7347" stopIfTrue="1" id="{94B4D1F1-4ACB-4FDD-A359-CC1B3BD7D475}">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7342" id="{54C3AD6A-724E-4391-99AF-867E6A93ED6A}">
            <xm:f>AND(IF(Q271&gt;'F:\Users\norela.briceno\Documents\Plan de acción\Plan Accion 2018\[Plan Accion Integrado ADRES Vigencia 2018 con Cuadro de Mando V6..xlsx]Plan de Accion 2018'!#REF!,Q271&lt;&gt;¨N/A¨))</xm:f>
            <x14:dxf>
              <fill>
                <patternFill>
                  <bgColor theme="1" tint="0.499984740745262"/>
                </patternFill>
              </fill>
            </x14:dxf>
          </x14:cfRule>
          <x14:cfRule type="expression" priority="7343" stopIfTrue="1" id="{D45070E1-7DE9-4D00-A999-6E98A133DEB2}">
            <xm:f>AND(IF(Q271='F:\Users\norela.briceno\Documents\Plan de acción\Plan Accion 2018\[Plan Accion Integrado ADRES Vigencia 2018 con Cuadro de Mando V6..xlsx]Plan de Accion 2018'!#REF!,Q271&lt;&gt;"N/A"))</xm:f>
            <x14:dxf>
              <fill>
                <patternFill>
                  <bgColor rgb="FF00B050"/>
                </patternFill>
              </fill>
            </x14:dxf>
          </x14:cfRule>
          <x14:cfRule type="expression" priority="7344" stopIfTrue="1" id="{F099F879-0972-4C61-9B22-371149C86269}">
            <xm:f>AND(IF(Q271&lt;'F:\Users\norela.briceno\Documents\Plan de acción\Plan Accion 2018\[Plan Accion Integrado ADRES Vigencia 2018 con Cuadro de Mando V6..xlsx]Plan de Accion 2018'!#REF!,Q271&lt;&gt;"N/A"))</xm:f>
            <x14:dxf>
              <fill>
                <patternFill>
                  <bgColor indexed="10"/>
                </patternFill>
              </fill>
            </x14:dxf>
          </x14:cfRule>
          <xm:sqref>Q271</xm:sqref>
        </x14:conditionalFormatting>
        <x14:conditionalFormatting xmlns:xm="http://schemas.microsoft.com/office/excel/2006/main">
          <x14:cfRule type="expression" priority="7339" id="{00FCEDDD-4AB2-424E-86D0-2875C2CA9365}">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7340" stopIfTrue="1" id="{83573090-F625-4817-93D9-5F0D4560003E}">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7341" stopIfTrue="1" id="{7D7216F7-5546-4729-81B9-9B823BC2FC2D}">
            <xm:f>AND(IF(Q270&lt;'F:\Users\norela.briceno\Documents\Plan de acción\Plan Accion 2018\[Plan Accion Integrado ADRES Vigencia 2018 con Cuadro de Mando V6..xlsx]Plan de Accion 2018'!#REF!,Q270&lt;&gt;"N/A"))</xm:f>
            <x14:dxf>
              <fill>
                <patternFill>
                  <bgColor indexed="10"/>
                </patternFill>
              </fill>
            </x14:dxf>
          </x14:cfRule>
          <xm:sqref>Q270</xm:sqref>
        </x14:conditionalFormatting>
        <x14:conditionalFormatting xmlns:xm="http://schemas.microsoft.com/office/excel/2006/main">
          <x14:cfRule type="expression" priority="7336" id="{6CF3ACC3-5147-4CC4-9428-846C630FD763}">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7337" stopIfTrue="1" id="{0B80E16E-162A-4A52-844A-2FE5A82F0F2D}">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7338" stopIfTrue="1" id="{C3CDC453-7185-419F-AF67-2D5BF84CFDE0}">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7333" id="{4C3E909C-D989-445F-A9DE-8A41059D0D3A}">
            <xm:f>AND(IF(Q268&gt;'F:\Users\norela.briceno\Documents\Plan de acción\Plan Accion 2018\[Plan Accion Integrado ADRES Vigencia 2018 con Cuadro de Mando V6..xlsx]Plan de Accion 2018'!#REF!,Q268&lt;&gt;¨N/A¨))</xm:f>
            <x14:dxf>
              <fill>
                <patternFill>
                  <bgColor theme="1" tint="0.499984740745262"/>
                </patternFill>
              </fill>
            </x14:dxf>
          </x14:cfRule>
          <x14:cfRule type="expression" priority="7334" stopIfTrue="1" id="{B3637E8D-EC80-4F26-8708-968003326D9D}">
            <xm:f>AND(IF(Q268='F:\Users\norela.briceno\Documents\Plan de acción\Plan Accion 2018\[Plan Accion Integrado ADRES Vigencia 2018 con Cuadro de Mando V6..xlsx]Plan de Accion 2018'!#REF!,Q268&lt;&gt;"N/A"))</xm:f>
            <x14:dxf>
              <fill>
                <patternFill>
                  <bgColor rgb="FF00B050"/>
                </patternFill>
              </fill>
            </x14:dxf>
          </x14:cfRule>
          <x14:cfRule type="expression" priority="7335" stopIfTrue="1" id="{96BF8A69-3660-4C48-991C-DD3218310390}">
            <xm:f>AND(IF(Q268&lt;'F:\Users\norela.briceno\Documents\Plan de acción\Plan Accion 2018\[Plan Accion Integrado ADRES Vigencia 2018 con Cuadro de Mando V6..xlsx]Plan de Accion 2018'!#REF!,Q268&lt;&gt;"N/A"))</xm:f>
            <x14:dxf>
              <fill>
                <patternFill>
                  <bgColor indexed="10"/>
                </patternFill>
              </fill>
            </x14:dxf>
          </x14:cfRule>
          <xm:sqref>Q268</xm:sqref>
        </x14:conditionalFormatting>
        <x14:conditionalFormatting xmlns:xm="http://schemas.microsoft.com/office/excel/2006/main">
          <x14:cfRule type="expression" priority="7330" id="{E8410DCE-F1B8-4B38-867A-9309122B3E96}">
            <xm:f>AND(IF(Q267&gt;'F:\Users\norela.briceno\Documents\Plan de acción\Plan Accion 2018\[Plan Accion Integrado ADRES Vigencia 2018 con Cuadro de Mando V6..xlsx]Plan de Accion 2018'!#REF!,Q267&lt;&gt;¨N/A¨))</xm:f>
            <x14:dxf>
              <fill>
                <patternFill>
                  <bgColor theme="1" tint="0.499984740745262"/>
                </patternFill>
              </fill>
            </x14:dxf>
          </x14:cfRule>
          <x14:cfRule type="expression" priority="7331" stopIfTrue="1" id="{C53009D0-54C0-4EAA-AE48-83A2401C82BA}">
            <xm:f>AND(IF(Q267='F:\Users\norela.briceno\Documents\Plan de acción\Plan Accion 2018\[Plan Accion Integrado ADRES Vigencia 2018 con Cuadro de Mando V6..xlsx]Plan de Accion 2018'!#REF!,Q267&lt;&gt;"N/A"))</xm:f>
            <x14:dxf>
              <fill>
                <patternFill>
                  <bgColor rgb="FF00B050"/>
                </patternFill>
              </fill>
            </x14:dxf>
          </x14:cfRule>
          <x14:cfRule type="expression" priority="7332" stopIfTrue="1" id="{91D61431-3A2B-479F-BA33-2FFD5FE0D94A}">
            <xm:f>AND(IF(Q267&lt;'F:\Users\norela.briceno\Documents\Plan de acción\Plan Accion 2018\[Plan Accion Integrado ADRES Vigencia 2018 con Cuadro de Mando V6..xlsx]Plan de Accion 2018'!#REF!,Q267&lt;&gt;"N/A"))</xm:f>
            <x14:dxf>
              <fill>
                <patternFill>
                  <bgColor indexed="10"/>
                </patternFill>
              </fill>
            </x14:dxf>
          </x14:cfRule>
          <xm:sqref>Q267</xm:sqref>
        </x14:conditionalFormatting>
        <x14:conditionalFormatting xmlns:xm="http://schemas.microsoft.com/office/excel/2006/main">
          <x14:cfRule type="expression" priority="7327" id="{D3547650-DD2E-409E-9C1E-AB94B486DAB5}">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7328" stopIfTrue="1" id="{A733E44F-138E-49BD-A186-1B451909520B}">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7329" stopIfTrue="1" id="{D990B784-7B65-4A46-AE0B-B58279FC5C79}">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7285" id="{2F07D530-BE55-43D2-9F5E-25D0D0D93442}">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7286" stopIfTrue="1" id="{4D085D8F-B65E-4299-8F17-557BCB360078}">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7287" stopIfTrue="1" id="{B8DA13EC-3557-45F4-B485-D582BA328AA7}">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7321" id="{1E2D09D2-0733-42C4-9AF5-A5D35C84A9BD}">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7322" stopIfTrue="1" id="{1A4EB3AF-16C5-41CE-95C2-A020F8117B53}">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7323" stopIfTrue="1" id="{41A316C2-FDB6-4AB0-AEE9-0F847B49599A}">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7318" id="{E7C0FD2B-CE26-4825-9C5D-0521747E865C}">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7319" stopIfTrue="1" id="{5FE2F556-976C-485B-9791-E006C1E490E5}">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7320" stopIfTrue="1" id="{3B74B324-3C2A-4B99-9B76-9C2E1EC69C71}">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7315" id="{4D8F727A-1E31-435F-81F4-D7D46B54974A}">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7316" stopIfTrue="1" id="{988CA33E-F1E7-4A95-9AA4-389019DFFA53}">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7317" stopIfTrue="1" id="{784D0B97-1FD8-49C3-A38D-44E791B178C2}">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7312" id="{C6718257-64BB-4797-B0BC-240344834122}">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7313" stopIfTrue="1" id="{9E21A80B-F243-46B9-AC32-A5F76F57F488}">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7314" stopIfTrue="1" id="{C575DEE4-C831-4FF1-9151-CDABFF91F127}">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7309" id="{8AEA59F4-75BE-44E7-8089-BDF53B124999}">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7310" stopIfTrue="1" id="{D3DCC1E6-1B31-43D2-8FD2-467A193F348C}">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7311" stopIfTrue="1" id="{94ABD2EA-58E3-4EBF-A4AA-649A1B48680C}">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7306" id="{8D4FF44B-6E2B-4697-A04D-184FC082DF4B}">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7307" stopIfTrue="1" id="{183A8255-6B04-4B48-92E6-91479399637D}">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7308" stopIfTrue="1" id="{48F2D5D3-04C3-4148-8062-405B2553BDF1}">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7303" id="{DD08D258-8181-4F65-89E0-53F3653BBD48}">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7304" stopIfTrue="1" id="{AA820DF7-D55D-49CF-BE2B-6098A130A6F2}">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7305" stopIfTrue="1" id="{27F2FDFF-612A-4ACC-A2F7-763ABA8234D8}">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7300" id="{74B064E8-CBEE-4576-9FBE-CFA076C8C168}">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7301" stopIfTrue="1" id="{7DB5ECAD-BB68-4E6D-A638-173B57EFD7AE}">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7302" stopIfTrue="1" id="{D9ED3F5D-A0EE-4B11-88B3-2E4EA1D82E22}">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7297" id="{4F0C4D83-7BEE-40C2-97D6-29FCB7E4B6DF}">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7298" stopIfTrue="1" id="{BA61EB16-7000-4B42-B207-2391A56D511C}">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7299" stopIfTrue="1" id="{874C7AEC-B69E-4C99-AD10-A851465E86FA}">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7294" id="{7261D8A0-46B5-4D04-A166-B3F6978963A9}">
            <xm:f>AND(IF(Q257&gt;'F:\Users\norela.briceno\Documents\Plan de acción\Plan Accion 2018\[Plan Accion Integrado ADRES Vigencia 2018 con Cuadro de Mando V6..xlsx]Plan de Accion 2018'!#REF!,Q257&lt;&gt;¨N/A¨))</xm:f>
            <x14:dxf>
              <fill>
                <patternFill>
                  <bgColor theme="1" tint="0.499984740745262"/>
                </patternFill>
              </fill>
            </x14:dxf>
          </x14:cfRule>
          <x14:cfRule type="expression" priority="7295" stopIfTrue="1" id="{9CC7F0BD-4256-4F24-B395-F41E20B0C340}">
            <xm:f>AND(IF(Q257='F:\Users\norela.briceno\Documents\Plan de acción\Plan Accion 2018\[Plan Accion Integrado ADRES Vigencia 2018 con Cuadro de Mando V6..xlsx]Plan de Accion 2018'!#REF!,Q257&lt;&gt;"N/A"))</xm:f>
            <x14:dxf>
              <fill>
                <patternFill>
                  <bgColor rgb="FF00B050"/>
                </patternFill>
              </fill>
            </x14:dxf>
          </x14:cfRule>
          <x14:cfRule type="expression" priority="7296" stopIfTrue="1" id="{8DEAB5FB-2597-4832-9A02-8A50C001020E}">
            <xm:f>AND(IF(Q257&lt;'F:\Users\norela.briceno\Documents\Plan de acción\Plan Accion 2018\[Plan Accion Integrado ADRES Vigencia 2018 con Cuadro de Mando V6..xlsx]Plan de Accion 2018'!#REF!,Q257&lt;&gt;"N/A"))</xm:f>
            <x14:dxf>
              <fill>
                <patternFill>
                  <bgColor indexed="10"/>
                </patternFill>
              </fill>
            </x14:dxf>
          </x14:cfRule>
          <xm:sqref>Q257</xm:sqref>
        </x14:conditionalFormatting>
        <x14:conditionalFormatting xmlns:xm="http://schemas.microsoft.com/office/excel/2006/main">
          <x14:cfRule type="expression" priority="7291" id="{412A7B8A-FCF6-47C5-A006-882DD5F5392F}">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7292" stopIfTrue="1" id="{7CA9BE4C-62BA-4B19-BD36-0CF83445CB63}">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7293" stopIfTrue="1" id="{2C19F9BD-0E60-43B7-ACEE-4849BE4CADF8}">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7288" id="{D5D0A3F0-5A05-4F30-B6E5-61E180EFFC4D}">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7289" stopIfTrue="1" id="{B7A8A026-AE7A-45E9-88C1-EDC84973AF1B}">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7290" stopIfTrue="1" id="{08C6A71E-CE83-4150-9687-12DDF2762A13}">
            <xm:f>AND(IF(Q251&lt;'F:\Users\norela.briceno\Documents\Plan de acción\Plan Accion 2018\[Plan Accion Integrado ADRES Vigencia 2018 con Cuadro de Mando V6..xlsx]Plan de Accion 2018'!#REF!,Q251&lt;&gt;"N/A"))</xm:f>
            <x14:dxf>
              <fill>
                <patternFill>
                  <bgColor indexed="10"/>
                </patternFill>
              </fill>
            </x14:dxf>
          </x14:cfRule>
          <xm:sqref>Q251</xm:sqref>
        </x14:conditionalFormatting>
        <x14:conditionalFormatting xmlns:xm="http://schemas.microsoft.com/office/excel/2006/main">
          <x14:cfRule type="expression" priority="7282" id="{DF2DDF2A-8933-4F5A-AF8C-7697C8CC5EFF}">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7283" stopIfTrue="1" id="{E6F2B62E-4741-43D6-A7A8-4F51FDBDE102}">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7284" stopIfTrue="1" id="{8F962656-5FB8-4BA6-B390-0275B72DB106}">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7279" id="{E8B674D3-42C2-420E-B5DE-37E700C1D927}">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7280" stopIfTrue="1" id="{94A0298D-1E61-4EAE-8F32-FA88412FF50A}">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7281" stopIfTrue="1" id="{1CD55B05-0E89-4DE8-8293-0FA3C5100A7C}">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7276" id="{8212538F-4EF6-438B-9D73-04578E6D88D4}">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7277" stopIfTrue="1" id="{4506CA3B-B829-429B-9AD3-318379EA49DA}">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7278" stopIfTrue="1" id="{52EA98E4-09B2-4E66-B002-41AAF4784B8D}">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7273" id="{8A49D60A-352C-49F8-A483-F09BDD57CDEE}">
            <xm:f>AND(IF(Q245&gt;'F:\Users\norela.briceno\Documents\Plan de acción\Plan Accion 2018\[Plan Accion Integrado ADRES Vigencia 2018 con Cuadro de Mando V6..xlsx]Plan de Accion 2018'!#REF!,Q245&lt;&gt;¨N/A¨))</xm:f>
            <x14:dxf>
              <fill>
                <patternFill>
                  <bgColor theme="1" tint="0.499984740745262"/>
                </patternFill>
              </fill>
            </x14:dxf>
          </x14:cfRule>
          <x14:cfRule type="expression" priority="7274" stopIfTrue="1" id="{6C11AD44-26CC-4381-A64B-1EC669EABB14}">
            <xm:f>AND(IF(Q245='F:\Users\norela.briceno\Documents\Plan de acción\Plan Accion 2018\[Plan Accion Integrado ADRES Vigencia 2018 con Cuadro de Mando V6..xlsx]Plan de Accion 2018'!#REF!,Q245&lt;&gt;"N/A"))</xm:f>
            <x14:dxf>
              <fill>
                <patternFill>
                  <bgColor rgb="FF00B050"/>
                </patternFill>
              </fill>
            </x14:dxf>
          </x14:cfRule>
          <x14:cfRule type="expression" priority="7275" stopIfTrue="1" id="{F35EE8A2-FB56-41E7-8E75-935803E89792}">
            <xm:f>AND(IF(Q245&lt;'F:\Users\norela.briceno\Documents\Plan de acción\Plan Accion 2018\[Plan Accion Integrado ADRES Vigencia 2018 con Cuadro de Mando V6..xlsx]Plan de Accion 2018'!#REF!,Q245&lt;&gt;"N/A"))</xm:f>
            <x14:dxf>
              <fill>
                <patternFill>
                  <bgColor indexed="10"/>
                </patternFill>
              </fill>
            </x14:dxf>
          </x14:cfRule>
          <xm:sqref>Q245</xm:sqref>
        </x14:conditionalFormatting>
        <x14:conditionalFormatting xmlns:xm="http://schemas.microsoft.com/office/excel/2006/main">
          <x14:cfRule type="expression" priority="7270" id="{BA572D3D-9378-406C-92A1-438727259487}">
            <xm:f>AND(IF(Q246&gt;'F:\Users\norela.briceno\Documents\Plan de acción\Plan Accion 2018\[Plan Accion Integrado ADRES Vigencia 2018 con Cuadro de Mando V6..xlsx]Plan de Accion 2018'!#REF!,Q246&lt;&gt;¨N/A¨))</xm:f>
            <x14:dxf>
              <fill>
                <patternFill>
                  <bgColor theme="1" tint="0.499984740745262"/>
                </patternFill>
              </fill>
            </x14:dxf>
          </x14:cfRule>
          <x14:cfRule type="expression" priority="7271" stopIfTrue="1" id="{9491E56B-527C-4BAF-8441-EBE7A266166A}">
            <xm:f>AND(IF(Q246='F:\Users\norela.briceno\Documents\Plan de acción\Plan Accion 2018\[Plan Accion Integrado ADRES Vigencia 2018 con Cuadro de Mando V6..xlsx]Plan de Accion 2018'!#REF!,Q246&lt;&gt;"N/A"))</xm:f>
            <x14:dxf>
              <fill>
                <patternFill>
                  <bgColor rgb="FF00B050"/>
                </patternFill>
              </fill>
            </x14:dxf>
          </x14:cfRule>
          <x14:cfRule type="expression" priority="7272" stopIfTrue="1" id="{F3C84872-95AC-4371-935A-368FEF91A849}">
            <xm:f>AND(IF(Q246&lt;'F:\Users\norela.briceno\Documents\Plan de acción\Plan Accion 2018\[Plan Accion Integrado ADRES Vigencia 2018 con Cuadro de Mando V6..xlsx]Plan de Accion 2018'!#REF!,Q246&lt;&gt;"N/A"))</xm:f>
            <x14:dxf>
              <fill>
                <patternFill>
                  <bgColor indexed="10"/>
                </patternFill>
              </fill>
            </x14:dxf>
          </x14:cfRule>
          <xm:sqref>Q246</xm:sqref>
        </x14:conditionalFormatting>
        <x14:conditionalFormatting xmlns:xm="http://schemas.microsoft.com/office/excel/2006/main">
          <x14:cfRule type="expression" priority="7267" id="{E7B71B23-1E6A-4976-9413-209E92B1D604}">
            <xm:f>AND(IF(Q247&gt;'F:\Users\norela.briceno\Documents\Plan de acción\Plan Accion 2018\[Plan Accion Integrado ADRES Vigencia 2018 con Cuadro de Mando V6..xlsx]Plan de Accion 2018'!#REF!,Q247&lt;&gt;¨N/A¨))</xm:f>
            <x14:dxf>
              <fill>
                <patternFill>
                  <bgColor theme="1" tint="0.499984740745262"/>
                </patternFill>
              </fill>
            </x14:dxf>
          </x14:cfRule>
          <x14:cfRule type="expression" priority="7268" stopIfTrue="1" id="{227F23AC-6CCF-4C9A-8547-F87667224D40}">
            <xm:f>AND(IF(Q247='F:\Users\norela.briceno\Documents\Plan de acción\Plan Accion 2018\[Plan Accion Integrado ADRES Vigencia 2018 con Cuadro de Mando V6..xlsx]Plan de Accion 2018'!#REF!,Q247&lt;&gt;"N/A"))</xm:f>
            <x14:dxf>
              <fill>
                <patternFill>
                  <bgColor rgb="FF00B050"/>
                </patternFill>
              </fill>
            </x14:dxf>
          </x14:cfRule>
          <x14:cfRule type="expression" priority="7269" stopIfTrue="1" id="{DBCF1DDB-ED2A-4AEB-907B-F8436A41A8C2}">
            <xm:f>AND(IF(Q247&lt;'F:\Users\norela.briceno\Documents\Plan de acción\Plan Accion 2018\[Plan Accion Integrado ADRES Vigencia 2018 con Cuadro de Mando V6..xlsx]Plan de Accion 2018'!#REF!,Q247&lt;&gt;"N/A"))</xm:f>
            <x14:dxf>
              <fill>
                <patternFill>
                  <bgColor indexed="10"/>
                </patternFill>
              </fill>
            </x14:dxf>
          </x14:cfRule>
          <xm:sqref>Q247</xm:sqref>
        </x14:conditionalFormatting>
        <x14:conditionalFormatting xmlns:xm="http://schemas.microsoft.com/office/excel/2006/main">
          <x14:cfRule type="expression" priority="7264" id="{21577FCA-E68C-4BA4-B408-B65038C2B41F}">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7265" stopIfTrue="1" id="{A8869639-F6E8-4A07-92C5-F4641A26F378}">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7266" stopIfTrue="1" id="{A19DC533-E548-457A-AAF7-4952450E6A44}">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7261" id="{8E9A9087-A3BE-443C-8F9B-C8B18CB8DAEA}">
            <xm:f>AND(IF(Q357&gt;'F:\Users\norela.briceno\Documents\Plan de acción\Plan Accion 2018\[Plan Accion Integrado ADRES Vigencia 2018 con Cuadro de Mando V6..xlsx]Plan de Accion 2018'!#REF!,Q357&lt;&gt;¨N/A¨))</xm:f>
            <x14:dxf>
              <fill>
                <patternFill>
                  <bgColor theme="1" tint="0.499984740745262"/>
                </patternFill>
              </fill>
            </x14:dxf>
          </x14:cfRule>
          <x14:cfRule type="expression" priority="7262" stopIfTrue="1" id="{6A759C2F-0440-4D8B-9A98-6A7512E90AA0}">
            <xm:f>AND(IF(Q357='F:\Users\norela.briceno\Documents\Plan de acción\Plan Accion 2018\[Plan Accion Integrado ADRES Vigencia 2018 con Cuadro de Mando V6..xlsx]Plan de Accion 2018'!#REF!,Q357&lt;&gt;"N/A"))</xm:f>
            <x14:dxf>
              <fill>
                <patternFill>
                  <bgColor rgb="FF00B050"/>
                </patternFill>
              </fill>
            </x14:dxf>
          </x14:cfRule>
          <x14:cfRule type="expression" priority="7263" stopIfTrue="1" id="{1E6EF003-42AC-4D47-BA39-8CC8C0E5D3BB}">
            <xm:f>AND(IF(Q357&lt;'F:\Users\norela.briceno\Documents\Plan de acción\Plan Accion 2018\[Plan Accion Integrado ADRES Vigencia 2018 con Cuadro de Mando V6..xlsx]Plan de Accion 2018'!#REF!,Q357&lt;&gt;"N/A"))</xm:f>
            <x14:dxf>
              <fill>
                <patternFill>
                  <bgColor indexed="10"/>
                </patternFill>
              </fill>
            </x14:dxf>
          </x14:cfRule>
          <xm:sqref>Q357</xm:sqref>
        </x14:conditionalFormatting>
        <x14:conditionalFormatting xmlns:xm="http://schemas.microsoft.com/office/excel/2006/main">
          <x14:cfRule type="expression" priority="7258" id="{80B22C1A-F19F-4ACC-AFF2-42CE83018D3D}">
            <xm:f>AND(IF(Q239&gt;'F:\Users\norela.briceno\Documents\Plan de acción\Plan Accion 2018\[Plan Accion Integrado ADRES Vigencia 2018 con Cuadro de Mando V6..xlsx]Plan de Accion 2018'!#REF!,Q239&lt;&gt;¨N/A¨))</xm:f>
            <x14:dxf>
              <fill>
                <patternFill>
                  <bgColor theme="1" tint="0.499984740745262"/>
                </patternFill>
              </fill>
            </x14:dxf>
          </x14:cfRule>
          <x14:cfRule type="expression" priority="7259" stopIfTrue="1" id="{7BF79D33-808D-40D5-8E20-D0119BF724B7}">
            <xm:f>AND(IF(Q239='F:\Users\norela.briceno\Documents\Plan de acción\Plan Accion 2018\[Plan Accion Integrado ADRES Vigencia 2018 con Cuadro de Mando V6..xlsx]Plan de Accion 2018'!#REF!,Q239&lt;&gt;"N/A"))</xm:f>
            <x14:dxf>
              <fill>
                <patternFill>
                  <bgColor rgb="FF00B050"/>
                </patternFill>
              </fill>
            </x14:dxf>
          </x14:cfRule>
          <x14:cfRule type="expression" priority="7260" stopIfTrue="1" id="{8E09D616-33D3-42CA-B9F2-52CAFDADA3A3}">
            <xm:f>AND(IF(Q239&lt;'F:\Users\norela.briceno\Documents\Plan de acción\Plan Accion 2018\[Plan Accion Integrado ADRES Vigencia 2018 con Cuadro de Mando V6..xlsx]Plan de Accion 2018'!#REF!,Q239&lt;&gt;"N/A"))</xm:f>
            <x14:dxf>
              <fill>
                <patternFill>
                  <bgColor indexed="10"/>
                </patternFill>
              </fill>
            </x14:dxf>
          </x14:cfRule>
          <xm:sqref>Q239</xm:sqref>
        </x14:conditionalFormatting>
        <x14:conditionalFormatting xmlns:xm="http://schemas.microsoft.com/office/excel/2006/main">
          <x14:cfRule type="expression" priority="7255" id="{243535CB-4817-4C1A-8C12-321706690F1E}">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7256" stopIfTrue="1" id="{CA9DE4A1-D0A6-46EF-9A39-F227C271BD2A}">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7257" stopIfTrue="1" id="{A4EA7926-259C-4766-89B8-05FF7599112B}">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7252" id="{EEEE11B0-F4B1-4C51-A7D9-E2CFD4867936}">
            <xm:f>AND(IF(Q233&gt;'F:\Users\norela.briceno\Documents\Plan de acción\Plan Accion 2018\[Plan Accion Integrado ADRES Vigencia 2018 con Cuadro de Mando V6..xlsx]Plan de Accion 2018'!#REF!,Q233&lt;&gt;¨N/A¨))</xm:f>
            <x14:dxf>
              <fill>
                <patternFill>
                  <bgColor theme="1" tint="0.499984740745262"/>
                </patternFill>
              </fill>
            </x14:dxf>
          </x14:cfRule>
          <x14:cfRule type="expression" priority="7253" stopIfTrue="1" id="{25342094-88AE-487B-BD7C-1288471D7BCA}">
            <xm:f>AND(IF(Q233='F:\Users\norela.briceno\Documents\Plan de acción\Plan Accion 2018\[Plan Accion Integrado ADRES Vigencia 2018 con Cuadro de Mando V6..xlsx]Plan de Accion 2018'!#REF!,Q233&lt;&gt;"N/A"))</xm:f>
            <x14:dxf>
              <fill>
                <patternFill>
                  <bgColor rgb="FF00B050"/>
                </patternFill>
              </fill>
            </x14:dxf>
          </x14:cfRule>
          <x14:cfRule type="expression" priority="7254" stopIfTrue="1" id="{11E3C403-97EC-49E2-80E2-2E67C29A33ED}">
            <xm:f>AND(IF(Q233&lt;'F:\Users\norela.briceno\Documents\Plan de acción\Plan Accion 2018\[Plan Accion Integrado ADRES Vigencia 2018 con Cuadro de Mando V6..xlsx]Plan de Accion 2018'!#REF!,Q233&lt;&gt;"N/A"))</xm:f>
            <x14:dxf>
              <fill>
                <patternFill>
                  <bgColor indexed="10"/>
                </patternFill>
              </fill>
            </x14:dxf>
          </x14:cfRule>
          <xm:sqref>Q233</xm:sqref>
        </x14:conditionalFormatting>
        <x14:conditionalFormatting xmlns:xm="http://schemas.microsoft.com/office/excel/2006/main">
          <x14:cfRule type="expression" priority="7249" id="{0CCA29E5-4A49-4D67-8449-45FFEC3355FD}">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7250" stopIfTrue="1" id="{58E88CD6-3600-43AD-B8F3-89C4E3CDBD30}">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7251" stopIfTrue="1" id="{4C9C9E1C-5E1E-4BB1-8E7B-0263B8A04900}">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7246" id="{AB9F732A-8BB8-4900-8867-1D83F8BCDC1B}">
            <xm:f>AND(IF(Q212&gt;'F:\Users\norela.briceno\Documents\Plan de acción\Plan Accion 2018\[Plan Accion Integrado ADRES Vigencia 2018 con Cuadro de Mando V6..xlsx]Plan de Accion 2018'!#REF!,Q212&lt;&gt;¨N/A¨))</xm:f>
            <x14:dxf>
              <fill>
                <patternFill>
                  <bgColor theme="1" tint="0.499984740745262"/>
                </patternFill>
              </fill>
            </x14:dxf>
          </x14:cfRule>
          <x14:cfRule type="expression" priority="7247" stopIfTrue="1" id="{152DBB52-D35E-447C-AB9E-E4D248FE6E3E}">
            <xm:f>AND(IF(Q212='F:\Users\norela.briceno\Documents\Plan de acción\Plan Accion 2018\[Plan Accion Integrado ADRES Vigencia 2018 con Cuadro de Mando V6..xlsx]Plan de Accion 2018'!#REF!,Q212&lt;&gt;"N/A"))</xm:f>
            <x14:dxf>
              <fill>
                <patternFill>
                  <bgColor rgb="FF00B050"/>
                </patternFill>
              </fill>
            </x14:dxf>
          </x14:cfRule>
          <x14:cfRule type="expression" priority="7248" stopIfTrue="1" id="{12B1EFB5-45A7-47FF-B9C1-47DD818233F9}">
            <xm:f>AND(IF(Q212&lt;'F:\Users\norela.briceno\Documents\Plan de acción\Plan Accion 2018\[Plan Accion Integrado ADRES Vigencia 2018 con Cuadro de Mando V6..xlsx]Plan de Accion 2018'!#REF!,Q212&lt;&gt;"N/A"))</xm:f>
            <x14:dxf>
              <fill>
                <patternFill>
                  <bgColor indexed="10"/>
                </patternFill>
              </fill>
            </x14:dxf>
          </x14:cfRule>
          <xm:sqref>Q212</xm:sqref>
        </x14:conditionalFormatting>
        <x14:conditionalFormatting xmlns:xm="http://schemas.microsoft.com/office/excel/2006/main">
          <x14:cfRule type="expression" priority="7243" id="{268696CB-151D-4D3B-ADD8-C7697BE859AD}">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7244" stopIfTrue="1" id="{CBACFA9C-FA3E-498D-A793-26964BCFC394}">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7245" stopIfTrue="1" id="{F3C2F469-8F37-4BA5-B64B-01E1FD818DA6}">
            <xm:f>AND(IF(Q211&lt;'F:\Users\norela.briceno\Documents\Plan de acción\Plan Accion 2018\[Plan Accion Integrado ADRES Vigencia 2018 con Cuadro de Mando V6..xlsx]Plan de Accion 2018'!#REF!,Q211&lt;&gt;"N/A"))</xm:f>
            <x14:dxf>
              <fill>
                <patternFill>
                  <bgColor indexed="10"/>
                </patternFill>
              </fill>
            </x14:dxf>
          </x14:cfRule>
          <xm:sqref>Q211</xm:sqref>
        </x14:conditionalFormatting>
        <x14:conditionalFormatting xmlns:xm="http://schemas.microsoft.com/office/excel/2006/main">
          <x14:cfRule type="expression" priority="7240" id="{B9F306A1-F535-4E96-B7D3-9743F8D3F706}">
            <xm:f>AND(IF(Q210&gt;'F:\Users\norela.briceno\Documents\Plan de acción\Plan Accion 2018\[Plan Accion Integrado ADRES Vigencia 2018 con Cuadro de Mando V6..xlsx]Plan de Accion 2018'!#REF!,Q210&lt;&gt;¨N/A¨))</xm:f>
            <x14:dxf>
              <fill>
                <patternFill>
                  <bgColor theme="1" tint="0.499984740745262"/>
                </patternFill>
              </fill>
            </x14:dxf>
          </x14:cfRule>
          <x14:cfRule type="expression" priority="7241" stopIfTrue="1" id="{A34A957D-15FF-4717-8A4F-8EE24BC50670}">
            <xm:f>AND(IF(Q210='F:\Users\norela.briceno\Documents\Plan de acción\Plan Accion 2018\[Plan Accion Integrado ADRES Vigencia 2018 con Cuadro de Mando V6..xlsx]Plan de Accion 2018'!#REF!,Q210&lt;&gt;"N/A"))</xm:f>
            <x14:dxf>
              <fill>
                <patternFill>
                  <bgColor rgb="FF00B050"/>
                </patternFill>
              </fill>
            </x14:dxf>
          </x14:cfRule>
          <x14:cfRule type="expression" priority="7242" stopIfTrue="1" id="{B08B57EB-2674-40F9-B81F-F07B87505A32}">
            <xm:f>AND(IF(Q210&lt;'F:\Users\norela.briceno\Documents\Plan de acción\Plan Accion 2018\[Plan Accion Integrado ADRES Vigencia 2018 con Cuadro de Mando V6..xlsx]Plan de Accion 2018'!#REF!,Q210&lt;&gt;"N/A"))</xm:f>
            <x14:dxf>
              <fill>
                <patternFill>
                  <bgColor indexed="10"/>
                </patternFill>
              </fill>
            </x14:dxf>
          </x14:cfRule>
          <xm:sqref>Q210</xm:sqref>
        </x14:conditionalFormatting>
        <x14:conditionalFormatting xmlns:xm="http://schemas.microsoft.com/office/excel/2006/main">
          <x14:cfRule type="expression" priority="7237" id="{A245F5A0-B22C-49AE-B754-F0CAA18C5AE9}">
            <xm:f>AND(IF(Q209&gt;'F:\Users\norela.briceno\Documents\Plan de acción\Plan Accion 2018\[Plan Accion Integrado ADRES Vigencia 2018 con Cuadro de Mando V6..xlsx]Plan de Accion 2018'!#REF!,Q209&lt;&gt;¨N/A¨))</xm:f>
            <x14:dxf>
              <fill>
                <patternFill>
                  <bgColor theme="1" tint="0.499984740745262"/>
                </patternFill>
              </fill>
            </x14:dxf>
          </x14:cfRule>
          <x14:cfRule type="expression" priority="7238" stopIfTrue="1" id="{948C908B-E33A-48EA-A971-A0516A320347}">
            <xm:f>AND(IF(Q209='F:\Users\norela.briceno\Documents\Plan de acción\Plan Accion 2018\[Plan Accion Integrado ADRES Vigencia 2018 con Cuadro de Mando V6..xlsx]Plan de Accion 2018'!#REF!,Q209&lt;&gt;"N/A"))</xm:f>
            <x14:dxf>
              <fill>
                <patternFill>
                  <bgColor rgb="FF00B050"/>
                </patternFill>
              </fill>
            </x14:dxf>
          </x14:cfRule>
          <x14:cfRule type="expression" priority="7239" stopIfTrue="1" id="{0F8F6A38-00B4-4EB4-861E-F6246C94F7E4}">
            <xm:f>AND(IF(Q209&lt;'F:\Users\norela.briceno\Documents\Plan de acción\Plan Accion 2018\[Plan Accion Integrado ADRES Vigencia 2018 con Cuadro de Mando V6..xlsx]Plan de Accion 2018'!#REF!,Q209&lt;&gt;"N/A"))</xm:f>
            <x14:dxf>
              <fill>
                <patternFill>
                  <bgColor indexed="10"/>
                </patternFill>
              </fill>
            </x14:dxf>
          </x14:cfRule>
          <xm:sqref>Q209</xm:sqref>
        </x14:conditionalFormatting>
        <x14:conditionalFormatting xmlns:xm="http://schemas.microsoft.com/office/excel/2006/main">
          <x14:cfRule type="expression" priority="7234" id="{1179F379-4C8E-4027-83D1-874427FE8D93}">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7235" stopIfTrue="1" id="{26F5C4B9-32F3-47C3-9E56-7D9ED0F76E79}">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7236" stopIfTrue="1" id="{822C0EDA-0259-4892-A402-8F19CFE89B5A}">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7231" id="{E3ADF93F-28F1-4807-AF27-9CB9A4F2D001}">
            <xm:f>AND(IF(Q205&gt;'F:\Users\norela.briceno\Documents\Plan de acción\Plan Accion 2018\[Plan Accion Integrado ADRES Vigencia 2018 con Cuadro de Mando V6..xlsx]Plan de Accion 2018'!#REF!,Q205&lt;&gt;¨N/A¨))</xm:f>
            <x14:dxf>
              <fill>
                <patternFill>
                  <bgColor theme="1" tint="0.499984740745262"/>
                </patternFill>
              </fill>
            </x14:dxf>
          </x14:cfRule>
          <x14:cfRule type="expression" priority="7232" stopIfTrue="1" id="{E6824D67-F6FC-41A6-98F1-EA439F406BC4}">
            <xm:f>AND(IF(Q205='F:\Users\norela.briceno\Documents\Plan de acción\Plan Accion 2018\[Plan Accion Integrado ADRES Vigencia 2018 con Cuadro de Mando V6..xlsx]Plan de Accion 2018'!#REF!,Q205&lt;&gt;"N/A"))</xm:f>
            <x14:dxf>
              <fill>
                <patternFill>
                  <bgColor rgb="FF00B050"/>
                </patternFill>
              </fill>
            </x14:dxf>
          </x14:cfRule>
          <x14:cfRule type="expression" priority="7233" stopIfTrue="1" id="{F32B000B-E2EE-4017-858E-51367BEC0FD0}">
            <xm:f>AND(IF(Q205&lt;'F:\Users\norela.briceno\Documents\Plan de acción\Plan Accion 2018\[Plan Accion Integrado ADRES Vigencia 2018 con Cuadro de Mando V6..xlsx]Plan de Accion 2018'!#REF!,Q205&lt;&gt;"N/A"))</xm:f>
            <x14:dxf>
              <fill>
                <patternFill>
                  <bgColor indexed="10"/>
                </patternFill>
              </fill>
            </x14:dxf>
          </x14:cfRule>
          <xm:sqref>Q205</xm:sqref>
        </x14:conditionalFormatting>
        <x14:conditionalFormatting xmlns:xm="http://schemas.microsoft.com/office/excel/2006/main">
          <x14:cfRule type="expression" priority="7228" id="{4AEB9673-5520-465E-865D-C7B472D13047}">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7229" stopIfTrue="1" id="{3CC6EAE9-3A70-436E-BEE1-D2E8FD830EA6}">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7230" stopIfTrue="1" id="{5CF79544-49D0-43EC-AB8E-D6CDBBF21266}">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7225" id="{9C774A12-4E79-4397-B1C7-C238D29B4B1E}">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7226" stopIfTrue="1" id="{BF883D94-B7F1-4428-8170-A49B2469209C}">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7227" stopIfTrue="1" id="{E76F780A-111C-4AC9-B259-8DCEA614BE9E}">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7222" id="{135ECAA3-C736-452A-8A64-96DBADF945C0}">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7223" stopIfTrue="1" id="{9609E5A3-496B-4D0D-982A-C7044C21B925}">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7224" stopIfTrue="1" id="{6A7BE756-222F-4461-A4CA-2609430EADED}">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7219" id="{A9FEC2FD-FADF-47AC-88D9-F7AC07F7C425}">
            <xm:f>AND(IF(Q197&gt;'F:\Users\norela.briceno\Documents\Plan de acción\Plan Accion 2018\[Plan Accion Integrado ADRES Vigencia 2018 con Cuadro de Mando V6..xlsx]Plan de Accion 2018'!#REF!,Q197&lt;&gt;¨N/A¨))</xm:f>
            <x14:dxf>
              <fill>
                <patternFill>
                  <bgColor theme="1" tint="0.499984740745262"/>
                </patternFill>
              </fill>
            </x14:dxf>
          </x14:cfRule>
          <x14:cfRule type="expression" priority="7220" stopIfTrue="1" id="{FB22A47D-0E47-4910-A35D-D2128F71AAF1}">
            <xm:f>AND(IF(Q197='F:\Users\norela.briceno\Documents\Plan de acción\Plan Accion 2018\[Plan Accion Integrado ADRES Vigencia 2018 con Cuadro de Mando V6..xlsx]Plan de Accion 2018'!#REF!,Q197&lt;&gt;"N/A"))</xm:f>
            <x14:dxf>
              <fill>
                <patternFill>
                  <bgColor rgb="FF00B050"/>
                </patternFill>
              </fill>
            </x14:dxf>
          </x14:cfRule>
          <x14:cfRule type="expression" priority="7221" stopIfTrue="1" id="{855FA3A6-54AC-4A33-91ED-44DA78571CAD}">
            <xm:f>AND(IF(Q197&lt;'F:\Users\norela.briceno\Documents\Plan de acción\Plan Accion 2018\[Plan Accion Integrado ADRES Vigencia 2018 con Cuadro de Mando V6..xlsx]Plan de Accion 2018'!#REF!,Q197&lt;&gt;"N/A"))</xm:f>
            <x14:dxf>
              <fill>
                <patternFill>
                  <bgColor indexed="10"/>
                </patternFill>
              </fill>
            </x14:dxf>
          </x14:cfRule>
          <xm:sqref>Q197</xm:sqref>
        </x14:conditionalFormatting>
        <x14:conditionalFormatting xmlns:xm="http://schemas.microsoft.com/office/excel/2006/main">
          <x14:cfRule type="expression" priority="7216" id="{A9119D4A-9B28-4CE2-B550-0BDFA8C00FEA}">
            <xm:f>AND(IF(Q196&gt;'F:\Users\norela.briceno\Documents\Plan de acción\Plan Accion 2018\[Plan Accion Integrado ADRES Vigencia 2018 con Cuadro de Mando V6..xlsx]Plan de Accion 2018'!#REF!,Q196&lt;&gt;¨N/A¨))</xm:f>
            <x14:dxf>
              <fill>
                <patternFill>
                  <bgColor theme="1" tint="0.499984740745262"/>
                </patternFill>
              </fill>
            </x14:dxf>
          </x14:cfRule>
          <x14:cfRule type="expression" priority="7217" stopIfTrue="1" id="{B27F3302-5161-4DC9-AD9B-CDD6FB0EEFCB}">
            <xm:f>AND(IF(Q196='F:\Users\norela.briceno\Documents\Plan de acción\Plan Accion 2018\[Plan Accion Integrado ADRES Vigencia 2018 con Cuadro de Mando V6..xlsx]Plan de Accion 2018'!#REF!,Q196&lt;&gt;"N/A"))</xm:f>
            <x14:dxf>
              <fill>
                <patternFill>
                  <bgColor rgb="FF00B050"/>
                </patternFill>
              </fill>
            </x14:dxf>
          </x14:cfRule>
          <x14:cfRule type="expression" priority="7218" stopIfTrue="1" id="{190208EA-6BFF-4B6E-95C6-2FD2076F463C}">
            <xm:f>AND(IF(Q196&lt;'F:\Users\norela.briceno\Documents\Plan de acción\Plan Accion 2018\[Plan Accion Integrado ADRES Vigencia 2018 con Cuadro de Mando V6..xlsx]Plan de Accion 2018'!#REF!,Q196&lt;&gt;"N/A"))</xm:f>
            <x14:dxf>
              <fill>
                <patternFill>
                  <bgColor indexed="10"/>
                </patternFill>
              </fill>
            </x14:dxf>
          </x14:cfRule>
          <xm:sqref>Q196</xm:sqref>
        </x14:conditionalFormatting>
        <x14:conditionalFormatting xmlns:xm="http://schemas.microsoft.com/office/excel/2006/main">
          <x14:cfRule type="expression" priority="7213" id="{CB9C6910-A261-4BEE-BD97-65D9EDC8850F}">
            <xm:f>AND(IF(Q195&gt;'F:\Users\norela.briceno\Documents\Plan de acción\Plan Accion 2018\[Plan Accion Integrado ADRES Vigencia 2018 con Cuadro de Mando V6..xlsx]Plan de Accion 2018'!#REF!,Q195&lt;&gt;¨N/A¨))</xm:f>
            <x14:dxf>
              <fill>
                <patternFill>
                  <bgColor theme="1" tint="0.499984740745262"/>
                </patternFill>
              </fill>
            </x14:dxf>
          </x14:cfRule>
          <x14:cfRule type="expression" priority="7214" stopIfTrue="1" id="{0814B8A7-5DF5-480D-9673-85CAC3BE49AB}">
            <xm:f>AND(IF(Q195='F:\Users\norela.briceno\Documents\Plan de acción\Plan Accion 2018\[Plan Accion Integrado ADRES Vigencia 2018 con Cuadro de Mando V6..xlsx]Plan de Accion 2018'!#REF!,Q195&lt;&gt;"N/A"))</xm:f>
            <x14:dxf>
              <fill>
                <patternFill>
                  <bgColor rgb="FF00B050"/>
                </patternFill>
              </fill>
            </x14:dxf>
          </x14:cfRule>
          <x14:cfRule type="expression" priority="7215" stopIfTrue="1" id="{3A2F4A41-B02C-4FF3-B424-2A63C7656D4F}">
            <xm:f>AND(IF(Q195&lt;'F:\Users\norela.briceno\Documents\Plan de acción\Plan Accion 2018\[Plan Accion Integrado ADRES Vigencia 2018 con Cuadro de Mando V6..xlsx]Plan de Accion 2018'!#REF!,Q195&lt;&gt;"N/A"))</xm:f>
            <x14:dxf>
              <fill>
                <patternFill>
                  <bgColor indexed="10"/>
                </patternFill>
              </fill>
            </x14:dxf>
          </x14:cfRule>
          <xm:sqref>Q195</xm:sqref>
        </x14:conditionalFormatting>
        <x14:conditionalFormatting xmlns:xm="http://schemas.microsoft.com/office/excel/2006/main">
          <x14:cfRule type="expression" priority="7210" id="{F5BD26BA-85B5-4F7D-87AF-F7485454625D}">
            <xm:f>AND(IF(Q194&gt;'F:\Users\norela.briceno\Documents\Plan de acción\Plan Accion 2018\[Plan Accion Integrado ADRES Vigencia 2018 con Cuadro de Mando V6..xlsx]Plan de Accion 2018'!#REF!,Q194&lt;&gt;¨N/A¨))</xm:f>
            <x14:dxf>
              <fill>
                <patternFill>
                  <bgColor theme="1" tint="0.499984740745262"/>
                </patternFill>
              </fill>
            </x14:dxf>
          </x14:cfRule>
          <x14:cfRule type="expression" priority="7211" stopIfTrue="1" id="{0A4E14BC-DC7D-48D1-9912-E844389A3EAD}">
            <xm:f>AND(IF(Q194='F:\Users\norela.briceno\Documents\Plan de acción\Plan Accion 2018\[Plan Accion Integrado ADRES Vigencia 2018 con Cuadro de Mando V6..xlsx]Plan de Accion 2018'!#REF!,Q194&lt;&gt;"N/A"))</xm:f>
            <x14:dxf>
              <fill>
                <patternFill>
                  <bgColor rgb="FF00B050"/>
                </patternFill>
              </fill>
            </x14:dxf>
          </x14:cfRule>
          <x14:cfRule type="expression" priority="7212" stopIfTrue="1" id="{C226F279-55F6-4FB6-99FC-DB9A931B24B7}">
            <xm:f>AND(IF(Q194&lt;'F:\Users\norela.briceno\Documents\Plan de acción\Plan Accion 2018\[Plan Accion Integrado ADRES Vigencia 2018 con Cuadro de Mando V6..xlsx]Plan de Accion 2018'!#REF!,Q194&lt;&gt;"N/A"))</xm:f>
            <x14:dxf>
              <fill>
                <patternFill>
                  <bgColor indexed="10"/>
                </patternFill>
              </fill>
            </x14:dxf>
          </x14:cfRule>
          <xm:sqref>Q194</xm:sqref>
        </x14:conditionalFormatting>
        <x14:conditionalFormatting xmlns:xm="http://schemas.microsoft.com/office/excel/2006/main">
          <x14:cfRule type="expression" priority="7207" id="{F88176A3-65E6-427D-9C88-0C51BECF8ADA}">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7208" stopIfTrue="1" id="{7F140A3A-C83F-4F5E-8C90-6AAA0E6A653E}">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7209" stopIfTrue="1" id="{A302FD21-12EC-4544-9D84-898D575E63F0}">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7204" id="{426C80D4-EE3E-4F2C-BD1A-75A1BA92DA84}">
            <xm:f>AND(IF(Q188&gt;'F:\Users\norela.briceno\Documents\Plan de acción\Plan Accion 2018\[Plan Accion Integrado ADRES Vigencia 2018 con Cuadro de Mando V6..xlsx]Plan de Accion 2018'!#REF!,Q188&lt;&gt;¨N/A¨))</xm:f>
            <x14:dxf>
              <fill>
                <patternFill>
                  <bgColor theme="1" tint="0.499984740745262"/>
                </patternFill>
              </fill>
            </x14:dxf>
          </x14:cfRule>
          <x14:cfRule type="expression" priority="7205" stopIfTrue="1" id="{E82FD5A8-A307-4646-B282-8248E158C4B6}">
            <xm:f>AND(IF(Q188='F:\Users\norela.briceno\Documents\Plan de acción\Plan Accion 2018\[Plan Accion Integrado ADRES Vigencia 2018 con Cuadro de Mando V6..xlsx]Plan de Accion 2018'!#REF!,Q188&lt;&gt;"N/A"))</xm:f>
            <x14:dxf>
              <fill>
                <patternFill>
                  <bgColor rgb="FF00B050"/>
                </patternFill>
              </fill>
            </x14:dxf>
          </x14:cfRule>
          <x14:cfRule type="expression" priority="7206" stopIfTrue="1" id="{C3526A9A-7BBB-46FE-8DFE-55DFB645108D}">
            <xm:f>AND(IF(Q188&lt;'F:\Users\norela.briceno\Documents\Plan de acción\Plan Accion 2018\[Plan Accion Integrado ADRES Vigencia 2018 con Cuadro de Mando V6..xlsx]Plan de Accion 2018'!#REF!,Q188&lt;&gt;"N/A"))</xm:f>
            <x14:dxf>
              <fill>
                <patternFill>
                  <bgColor indexed="10"/>
                </patternFill>
              </fill>
            </x14:dxf>
          </x14:cfRule>
          <xm:sqref>Q188</xm:sqref>
        </x14:conditionalFormatting>
        <x14:conditionalFormatting xmlns:xm="http://schemas.microsoft.com/office/excel/2006/main">
          <x14:cfRule type="expression" priority="7201" id="{BD31C8C9-7C90-43ED-A0F9-7A1154216421}">
            <xm:f>AND(IF(Q187&gt;'F:\Users\norela.briceno\Documents\Plan de acción\Plan Accion 2018\[Plan Accion Integrado ADRES Vigencia 2018 con Cuadro de Mando V6..xlsx]Plan de Accion 2018'!#REF!,Q187&lt;&gt;¨N/A¨))</xm:f>
            <x14:dxf>
              <fill>
                <patternFill>
                  <bgColor theme="1" tint="0.499984740745262"/>
                </patternFill>
              </fill>
            </x14:dxf>
          </x14:cfRule>
          <x14:cfRule type="expression" priority="7202" stopIfTrue="1" id="{C22ECE0E-5686-46E7-9BC4-8D55A8BCA8FB}">
            <xm:f>AND(IF(Q187='F:\Users\norela.briceno\Documents\Plan de acción\Plan Accion 2018\[Plan Accion Integrado ADRES Vigencia 2018 con Cuadro de Mando V6..xlsx]Plan de Accion 2018'!#REF!,Q187&lt;&gt;"N/A"))</xm:f>
            <x14:dxf>
              <fill>
                <patternFill>
                  <bgColor rgb="FF00B050"/>
                </patternFill>
              </fill>
            </x14:dxf>
          </x14:cfRule>
          <x14:cfRule type="expression" priority="7203" stopIfTrue="1" id="{433341C0-EE7D-45C3-B435-28BEF7F815FA}">
            <xm:f>AND(IF(Q187&lt;'F:\Users\norela.briceno\Documents\Plan de acción\Plan Accion 2018\[Plan Accion Integrado ADRES Vigencia 2018 con Cuadro de Mando V6..xlsx]Plan de Accion 2018'!#REF!,Q187&lt;&gt;"N/A"))</xm:f>
            <x14:dxf>
              <fill>
                <patternFill>
                  <bgColor indexed="10"/>
                </patternFill>
              </fill>
            </x14:dxf>
          </x14:cfRule>
          <xm:sqref>Q187</xm:sqref>
        </x14:conditionalFormatting>
        <x14:conditionalFormatting xmlns:xm="http://schemas.microsoft.com/office/excel/2006/main">
          <x14:cfRule type="expression" priority="7198" id="{130C7075-FDD1-48FD-BB5F-D7F597AF12E7}">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7199" stopIfTrue="1" id="{241B989C-923E-453C-B6F3-A2332C85BC8F}">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7200" stopIfTrue="1" id="{27EAB651-7EE6-445D-90C6-26D1B184D26F}">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7195" id="{C8BB0DA0-40E3-4079-BA0D-3B7FA40F989C}">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7196" stopIfTrue="1" id="{49D09E95-F701-40B5-89CD-8DA3CBEA3F94}">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7197" stopIfTrue="1" id="{04075CFF-D47D-4E97-B14A-17F26154B3F4}">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7192" id="{7912BBE8-2139-47DB-93E9-EE2486EE55FA}">
            <xm:f>AND(IF(Q176&gt;'F:\Users\norela.briceno\Documents\Plan de acción\Plan Accion 2018\[Plan Accion Integrado ADRES Vigencia 2018 con Cuadro de Mando V6..xlsx]Plan de Accion 2018'!#REF!,Q176&lt;&gt;¨N/A¨))</xm:f>
            <x14:dxf>
              <fill>
                <patternFill>
                  <bgColor theme="1" tint="0.499984740745262"/>
                </patternFill>
              </fill>
            </x14:dxf>
          </x14:cfRule>
          <x14:cfRule type="expression" priority="7193" stopIfTrue="1" id="{0E52E894-0BD2-42CC-8E45-B7D60904D2C6}">
            <xm:f>AND(IF(Q176='F:\Users\norela.briceno\Documents\Plan de acción\Plan Accion 2018\[Plan Accion Integrado ADRES Vigencia 2018 con Cuadro de Mando V6..xlsx]Plan de Accion 2018'!#REF!,Q176&lt;&gt;"N/A"))</xm:f>
            <x14:dxf>
              <fill>
                <patternFill>
                  <bgColor rgb="FF00B050"/>
                </patternFill>
              </fill>
            </x14:dxf>
          </x14:cfRule>
          <x14:cfRule type="expression" priority="7194" stopIfTrue="1" id="{E529EA68-B2D1-47A6-91DB-DFAE3163D9D8}">
            <xm:f>AND(IF(Q176&lt;'F:\Users\norela.briceno\Documents\Plan de acción\Plan Accion 2018\[Plan Accion Integrado ADRES Vigencia 2018 con Cuadro de Mando V6..xlsx]Plan de Accion 2018'!#REF!,Q176&lt;&gt;"N/A"))</xm:f>
            <x14:dxf>
              <fill>
                <patternFill>
                  <bgColor indexed="10"/>
                </patternFill>
              </fill>
            </x14:dxf>
          </x14:cfRule>
          <xm:sqref>Q176</xm:sqref>
        </x14:conditionalFormatting>
        <x14:conditionalFormatting xmlns:xm="http://schemas.microsoft.com/office/excel/2006/main">
          <x14:cfRule type="expression" priority="7189" id="{C2D83216-FA2E-4214-9563-59A9BC10A82F}">
            <xm:f>AND(IF(Q175&gt;'F:\Users\norela.briceno\Documents\Plan de acción\Plan Accion 2018\[Plan Accion Integrado ADRES Vigencia 2018 con Cuadro de Mando V6..xlsx]Plan de Accion 2018'!#REF!,Q175&lt;&gt;¨N/A¨))</xm:f>
            <x14:dxf>
              <fill>
                <patternFill>
                  <bgColor theme="1" tint="0.499984740745262"/>
                </patternFill>
              </fill>
            </x14:dxf>
          </x14:cfRule>
          <x14:cfRule type="expression" priority="7190" stopIfTrue="1" id="{A57B7B26-8E19-45E2-A4E0-78215D03E91D}">
            <xm:f>AND(IF(Q175='F:\Users\norela.briceno\Documents\Plan de acción\Plan Accion 2018\[Plan Accion Integrado ADRES Vigencia 2018 con Cuadro de Mando V6..xlsx]Plan de Accion 2018'!#REF!,Q175&lt;&gt;"N/A"))</xm:f>
            <x14:dxf>
              <fill>
                <patternFill>
                  <bgColor rgb="FF00B050"/>
                </patternFill>
              </fill>
            </x14:dxf>
          </x14:cfRule>
          <x14:cfRule type="expression" priority="7191" stopIfTrue="1" id="{4B30CD56-785B-4943-AF6D-C048D5D8FA9B}">
            <xm:f>AND(IF(Q175&lt;'F:\Users\norela.briceno\Documents\Plan de acción\Plan Accion 2018\[Plan Accion Integrado ADRES Vigencia 2018 con Cuadro de Mando V6..xlsx]Plan de Accion 2018'!#REF!,Q175&lt;&gt;"N/A"))</xm:f>
            <x14:dxf>
              <fill>
                <patternFill>
                  <bgColor indexed="10"/>
                </patternFill>
              </fill>
            </x14:dxf>
          </x14:cfRule>
          <xm:sqref>Q175</xm:sqref>
        </x14:conditionalFormatting>
        <x14:conditionalFormatting xmlns:xm="http://schemas.microsoft.com/office/excel/2006/main">
          <x14:cfRule type="expression" priority="7186" id="{11F07019-2326-42F3-A6E3-E6838BFF6057}">
            <xm:f>AND(IF(Q173&gt;'F:\Users\norela.briceno\Documents\Plan de acción\Plan Accion 2018\[Plan Accion Integrado ADRES Vigencia 2018 con Cuadro de Mando V6..xlsx]Plan de Accion 2018'!#REF!,Q173&lt;&gt;¨N/A¨))</xm:f>
            <x14:dxf>
              <fill>
                <patternFill>
                  <bgColor theme="1" tint="0.499984740745262"/>
                </patternFill>
              </fill>
            </x14:dxf>
          </x14:cfRule>
          <x14:cfRule type="expression" priority="7187" stopIfTrue="1" id="{15D9BABF-3B82-4EB8-8DDF-0851F1DE6DDE}">
            <xm:f>AND(IF(Q173='F:\Users\norela.briceno\Documents\Plan de acción\Plan Accion 2018\[Plan Accion Integrado ADRES Vigencia 2018 con Cuadro de Mando V6..xlsx]Plan de Accion 2018'!#REF!,Q173&lt;&gt;"N/A"))</xm:f>
            <x14:dxf>
              <fill>
                <patternFill>
                  <bgColor rgb="FF00B050"/>
                </patternFill>
              </fill>
            </x14:dxf>
          </x14:cfRule>
          <x14:cfRule type="expression" priority="7188" stopIfTrue="1" id="{DE49AFF2-0C60-4EC5-8264-8A13CC5B4299}">
            <xm:f>AND(IF(Q173&lt;'F:\Users\norela.briceno\Documents\Plan de acción\Plan Accion 2018\[Plan Accion Integrado ADRES Vigencia 2018 con Cuadro de Mando V6..xlsx]Plan de Accion 2018'!#REF!,Q173&lt;&gt;"N/A"))</xm:f>
            <x14:dxf>
              <fill>
                <patternFill>
                  <bgColor indexed="10"/>
                </patternFill>
              </fill>
            </x14:dxf>
          </x14:cfRule>
          <xm:sqref>Q173</xm:sqref>
        </x14:conditionalFormatting>
        <x14:conditionalFormatting xmlns:xm="http://schemas.microsoft.com/office/excel/2006/main">
          <x14:cfRule type="expression" priority="7183" id="{CB63F433-02DA-4828-B6F4-464C80FF51E2}">
            <xm:f>AND(IF(Q171&gt;'F:\Users\norela.briceno\Documents\Plan de acción\Plan Accion 2018\[Plan Accion Integrado ADRES Vigencia 2018 con Cuadro de Mando V6..xlsx]Plan de Accion 2018'!#REF!,Q171&lt;&gt;¨N/A¨))</xm:f>
            <x14:dxf>
              <fill>
                <patternFill>
                  <bgColor theme="1" tint="0.499984740745262"/>
                </patternFill>
              </fill>
            </x14:dxf>
          </x14:cfRule>
          <x14:cfRule type="expression" priority="7184" stopIfTrue="1" id="{23AB3885-1D96-4289-A1ED-D8615CA95782}">
            <xm:f>AND(IF(Q171='F:\Users\norela.briceno\Documents\Plan de acción\Plan Accion 2018\[Plan Accion Integrado ADRES Vigencia 2018 con Cuadro de Mando V6..xlsx]Plan de Accion 2018'!#REF!,Q171&lt;&gt;"N/A"))</xm:f>
            <x14:dxf>
              <fill>
                <patternFill>
                  <bgColor rgb="FF00B050"/>
                </patternFill>
              </fill>
            </x14:dxf>
          </x14:cfRule>
          <x14:cfRule type="expression" priority="7185" stopIfTrue="1" id="{00B2EC85-48D2-44F6-8AF7-3D52255A7178}">
            <xm:f>AND(IF(Q171&lt;'F:\Users\norela.briceno\Documents\Plan de acción\Plan Accion 2018\[Plan Accion Integrado ADRES Vigencia 2018 con Cuadro de Mando V6..xlsx]Plan de Accion 2018'!#REF!,Q171&lt;&gt;"N/A"))</xm:f>
            <x14:dxf>
              <fill>
                <patternFill>
                  <bgColor indexed="10"/>
                </patternFill>
              </fill>
            </x14:dxf>
          </x14:cfRule>
          <xm:sqref>Q171</xm:sqref>
        </x14:conditionalFormatting>
        <x14:conditionalFormatting xmlns:xm="http://schemas.microsoft.com/office/excel/2006/main">
          <x14:cfRule type="expression" priority="7180" id="{B3A81C85-FBD2-4586-AE69-30454CCD466A}">
            <xm:f>AND(IF(Q170&gt;'F:\Users\norela.briceno\Documents\Plan de acción\Plan Accion 2018\[Plan Accion Integrado ADRES Vigencia 2018 con Cuadro de Mando V6..xlsx]Plan de Accion 2018'!#REF!,Q170&lt;&gt;¨N/A¨))</xm:f>
            <x14:dxf>
              <fill>
                <patternFill>
                  <bgColor theme="1" tint="0.499984740745262"/>
                </patternFill>
              </fill>
            </x14:dxf>
          </x14:cfRule>
          <x14:cfRule type="expression" priority="7181" stopIfTrue="1" id="{C7CCD068-22E8-4C0D-9E6C-CDFC2F9B2D33}">
            <xm:f>AND(IF(Q170='F:\Users\norela.briceno\Documents\Plan de acción\Plan Accion 2018\[Plan Accion Integrado ADRES Vigencia 2018 con Cuadro de Mando V6..xlsx]Plan de Accion 2018'!#REF!,Q170&lt;&gt;"N/A"))</xm:f>
            <x14:dxf>
              <fill>
                <patternFill>
                  <bgColor rgb="FF00B050"/>
                </patternFill>
              </fill>
            </x14:dxf>
          </x14:cfRule>
          <x14:cfRule type="expression" priority="7182" stopIfTrue="1" id="{468E0691-181D-44D6-B9EE-A25353D03BEE}">
            <xm:f>AND(IF(Q170&lt;'F:\Users\norela.briceno\Documents\Plan de acción\Plan Accion 2018\[Plan Accion Integrado ADRES Vigencia 2018 con Cuadro de Mando V6..xlsx]Plan de Accion 2018'!#REF!,Q170&lt;&gt;"N/A"))</xm:f>
            <x14:dxf>
              <fill>
                <patternFill>
                  <bgColor indexed="10"/>
                </patternFill>
              </fill>
            </x14:dxf>
          </x14:cfRule>
          <xm:sqref>Q170</xm:sqref>
        </x14:conditionalFormatting>
        <x14:conditionalFormatting xmlns:xm="http://schemas.microsoft.com/office/excel/2006/main">
          <x14:cfRule type="expression" priority="7177" id="{982504A8-01CF-456C-B8CF-AC3D62CF9E39}">
            <xm:f>AND(IF(Q169&gt;'F:\Users\norela.briceno\Documents\Plan de acción\Plan Accion 2018\[Plan Accion Integrado ADRES Vigencia 2018 con Cuadro de Mando V6..xlsx]Plan de Accion 2018'!#REF!,Q169&lt;&gt;¨N/A¨))</xm:f>
            <x14:dxf>
              <fill>
                <patternFill>
                  <bgColor theme="1" tint="0.499984740745262"/>
                </patternFill>
              </fill>
            </x14:dxf>
          </x14:cfRule>
          <x14:cfRule type="expression" priority="7178" stopIfTrue="1" id="{7F2FA988-C79D-4BE1-9FF2-402314D5BADB}">
            <xm:f>AND(IF(Q169='F:\Users\norela.briceno\Documents\Plan de acción\Plan Accion 2018\[Plan Accion Integrado ADRES Vigencia 2018 con Cuadro de Mando V6..xlsx]Plan de Accion 2018'!#REF!,Q169&lt;&gt;"N/A"))</xm:f>
            <x14:dxf>
              <fill>
                <patternFill>
                  <bgColor rgb="FF00B050"/>
                </patternFill>
              </fill>
            </x14:dxf>
          </x14:cfRule>
          <x14:cfRule type="expression" priority="7179" stopIfTrue="1" id="{9D4BF500-B92A-4AC9-B540-BC140AAC2A05}">
            <xm:f>AND(IF(Q169&lt;'F:\Users\norela.briceno\Documents\Plan de acción\Plan Accion 2018\[Plan Accion Integrado ADRES Vigencia 2018 con Cuadro de Mando V6..xlsx]Plan de Accion 2018'!#REF!,Q169&lt;&gt;"N/A"))</xm:f>
            <x14:dxf>
              <fill>
                <patternFill>
                  <bgColor indexed="10"/>
                </patternFill>
              </fill>
            </x14:dxf>
          </x14:cfRule>
          <xm:sqref>Q169</xm:sqref>
        </x14:conditionalFormatting>
        <x14:conditionalFormatting xmlns:xm="http://schemas.microsoft.com/office/excel/2006/main">
          <x14:cfRule type="expression" priority="7174" id="{B33BD48C-0443-4D38-8355-86CF03340829}">
            <xm:f>AND(IF(Q168&gt;'F:\Users\norela.briceno\Documents\Plan de acción\Plan Accion 2018\[Plan Accion Integrado ADRES Vigencia 2018 con Cuadro de Mando V6..xlsx]Plan de Accion 2018'!#REF!,Q168&lt;&gt;¨N/A¨))</xm:f>
            <x14:dxf>
              <fill>
                <patternFill>
                  <bgColor theme="1" tint="0.499984740745262"/>
                </patternFill>
              </fill>
            </x14:dxf>
          </x14:cfRule>
          <x14:cfRule type="expression" priority="7175" stopIfTrue="1" id="{11566A7B-763A-4993-8E8B-5B98B0A3B100}">
            <xm:f>AND(IF(Q168='F:\Users\norela.briceno\Documents\Plan de acción\Plan Accion 2018\[Plan Accion Integrado ADRES Vigencia 2018 con Cuadro de Mando V6..xlsx]Plan de Accion 2018'!#REF!,Q168&lt;&gt;"N/A"))</xm:f>
            <x14:dxf>
              <fill>
                <patternFill>
                  <bgColor rgb="FF00B050"/>
                </patternFill>
              </fill>
            </x14:dxf>
          </x14:cfRule>
          <x14:cfRule type="expression" priority="7176" stopIfTrue="1" id="{74904D8B-F6E2-4388-86C0-4CA4F00D3B49}">
            <xm:f>AND(IF(Q168&lt;'F:\Users\norela.briceno\Documents\Plan de acción\Plan Accion 2018\[Plan Accion Integrado ADRES Vigencia 2018 con Cuadro de Mando V6..xlsx]Plan de Accion 2018'!#REF!,Q168&lt;&gt;"N/A"))</xm:f>
            <x14:dxf>
              <fill>
                <patternFill>
                  <bgColor indexed="10"/>
                </patternFill>
              </fill>
            </x14:dxf>
          </x14:cfRule>
          <xm:sqref>Q168</xm:sqref>
        </x14:conditionalFormatting>
        <x14:conditionalFormatting xmlns:xm="http://schemas.microsoft.com/office/excel/2006/main">
          <x14:cfRule type="expression" priority="7171" id="{22C7D220-0C89-42C0-8986-6E3E389722EF}">
            <xm:f>AND(IF(Q165&gt;'F:\Users\norela.briceno\Documents\Plan de acción\Plan Accion 2018\[Plan Accion Integrado ADRES Vigencia 2018 con Cuadro de Mando V6..xlsx]Plan de Accion 2018'!#REF!,Q165&lt;&gt;¨N/A¨))</xm:f>
            <x14:dxf>
              <fill>
                <patternFill>
                  <bgColor theme="1" tint="0.499984740745262"/>
                </patternFill>
              </fill>
            </x14:dxf>
          </x14:cfRule>
          <x14:cfRule type="expression" priority="7172" stopIfTrue="1" id="{DEA4BA74-19FA-42A9-A295-68C01AE3BC65}">
            <xm:f>AND(IF(Q165='F:\Users\norela.briceno\Documents\Plan de acción\Plan Accion 2018\[Plan Accion Integrado ADRES Vigencia 2018 con Cuadro de Mando V6..xlsx]Plan de Accion 2018'!#REF!,Q165&lt;&gt;"N/A"))</xm:f>
            <x14:dxf>
              <fill>
                <patternFill>
                  <bgColor rgb="FF00B050"/>
                </patternFill>
              </fill>
            </x14:dxf>
          </x14:cfRule>
          <x14:cfRule type="expression" priority="7173" stopIfTrue="1" id="{908AFFF6-E21E-4CD8-9363-7150D6BFF008}">
            <xm:f>AND(IF(Q165&lt;'F:\Users\norela.briceno\Documents\Plan de acción\Plan Accion 2018\[Plan Accion Integrado ADRES Vigencia 2018 con Cuadro de Mando V6..xlsx]Plan de Accion 2018'!#REF!,Q165&lt;&gt;"N/A"))</xm:f>
            <x14:dxf>
              <fill>
                <patternFill>
                  <bgColor indexed="10"/>
                </patternFill>
              </fill>
            </x14:dxf>
          </x14:cfRule>
          <xm:sqref>Q165</xm:sqref>
        </x14:conditionalFormatting>
        <x14:conditionalFormatting xmlns:xm="http://schemas.microsoft.com/office/excel/2006/main">
          <x14:cfRule type="expression" priority="7165" id="{906EC8D9-B700-4123-9D72-A7B0EBA4BBC7}">
            <xm:f>AND(IF(Q154&gt;'F:\Users\norela.briceno\Documents\Plan de acción\Plan Accion 2018\[Plan Accion Integrado ADRES Vigencia 2018 con Cuadro de Mando V6..xlsx]Plan de Accion 2018'!#REF!,Q154&lt;&gt;¨N/A¨))</xm:f>
            <x14:dxf>
              <fill>
                <patternFill>
                  <bgColor theme="1" tint="0.499984740745262"/>
                </patternFill>
              </fill>
            </x14:dxf>
          </x14:cfRule>
          <x14:cfRule type="expression" priority="7166" stopIfTrue="1" id="{7A79F7B2-54B3-489E-8DC8-E9168BFE57F4}">
            <xm:f>AND(IF(Q154='F:\Users\norela.briceno\Documents\Plan de acción\Plan Accion 2018\[Plan Accion Integrado ADRES Vigencia 2018 con Cuadro de Mando V6..xlsx]Plan de Accion 2018'!#REF!,Q154&lt;&gt;"N/A"))</xm:f>
            <x14:dxf>
              <fill>
                <patternFill>
                  <bgColor rgb="FF00B050"/>
                </patternFill>
              </fill>
            </x14:dxf>
          </x14:cfRule>
          <x14:cfRule type="expression" priority="7167" stopIfTrue="1" id="{7006CB2B-25AB-48EF-8799-76DB88F7FE2A}">
            <xm:f>AND(IF(Q154&lt;'F:\Users\norela.briceno\Documents\Plan de acción\Plan Accion 2018\[Plan Accion Integrado ADRES Vigencia 2018 con Cuadro de Mando V6..xlsx]Plan de Accion 2018'!#REF!,Q154&lt;&gt;"N/A"))</xm:f>
            <x14:dxf>
              <fill>
                <patternFill>
                  <bgColor indexed="10"/>
                </patternFill>
              </fill>
            </x14:dxf>
          </x14:cfRule>
          <xm:sqref>Q154</xm:sqref>
        </x14:conditionalFormatting>
        <x14:conditionalFormatting xmlns:xm="http://schemas.microsoft.com/office/excel/2006/main">
          <x14:cfRule type="expression" priority="7162" id="{8E75BA5C-B6F2-45D1-8593-9061AE13C01D}">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7163" stopIfTrue="1" id="{32B873C1-2575-4D02-A96B-FF06110FE6B3}">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7164" stopIfTrue="1" id="{45C28300-D077-47D8-B5B3-F5CDB4B97B4F}">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7159" id="{5D53C65C-35E6-469E-B07F-44E389E5AE8D}">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7160" stopIfTrue="1" id="{DCE5C37D-9FAD-4A2F-88BA-130DA7AC79F0}">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7161" stopIfTrue="1" id="{747EBA89-3ADD-4F3D-BEAE-48BE2C528242}">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7156" id="{9E12B6D3-E057-4DE6-98E2-40E7221CE116}">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7157" stopIfTrue="1" id="{0A9508D5-CE97-4347-9CAD-3FA45DB0E2B7}">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7158" stopIfTrue="1" id="{272F6517-DEBA-4ECF-83A4-C2D67A3DA04D}">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7153" id="{E2ABB2D0-00CE-49D4-ABA9-E7BBD68FAFEA}">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7154" stopIfTrue="1" id="{07281D15-6936-4528-AC4E-DFAC2779A483}">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7155" stopIfTrue="1" id="{CFA84F9A-CFC7-43E7-9D9B-9575B466838D}">
            <xm:f>AND(IF(Q149&lt;'F:\Users\norela.briceno\Documents\Plan de acción\Plan Accion 2018\[Plan Accion Integrado ADRES Vigencia 2018 con Cuadro de Mando V6..xlsx]Plan de Accion 2018'!#REF!,Q149&lt;&gt;"N/A"))</xm:f>
            <x14:dxf>
              <fill>
                <patternFill>
                  <bgColor indexed="10"/>
                </patternFill>
              </fill>
            </x14:dxf>
          </x14:cfRule>
          <xm:sqref>Q149</xm:sqref>
        </x14:conditionalFormatting>
        <x14:conditionalFormatting xmlns:xm="http://schemas.microsoft.com/office/excel/2006/main">
          <x14:cfRule type="expression" priority="7150" id="{C1FF985D-AE1E-4F3B-986C-26F934C235A5}">
            <xm:f>AND(IF(Q136&gt;'F:\Users\norela.briceno\Documents\Plan de acción\Plan Accion 2018\[Plan Accion Integrado ADRES Vigencia 2018 con Cuadro de Mando V6..xlsx]Plan de Accion 2018'!#REF!,Q136&lt;&gt;¨N/A¨))</xm:f>
            <x14:dxf>
              <fill>
                <patternFill>
                  <bgColor theme="1" tint="0.499984740745262"/>
                </patternFill>
              </fill>
            </x14:dxf>
          </x14:cfRule>
          <x14:cfRule type="expression" priority="7151" stopIfTrue="1" id="{89BE4A11-2910-40F6-A4A8-76D745AC2F9A}">
            <xm:f>AND(IF(Q136='F:\Users\norela.briceno\Documents\Plan de acción\Plan Accion 2018\[Plan Accion Integrado ADRES Vigencia 2018 con Cuadro de Mando V6..xlsx]Plan de Accion 2018'!#REF!,Q136&lt;&gt;"N/A"))</xm:f>
            <x14:dxf>
              <fill>
                <patternFill>
                  <bgColor rgb="FF00B050"/>
                </patternFill>
              </fill>
            </x14:dxf>
          </x14:cfRule>
          <x14:cfRule type="expression" priority="7152" stopIfTrue="1" id="{9BA8A959-9244-44C0-AAA7-0CABD8CE2F0B}">
            <xm:f>AND(IF(Q136&lt;'F:\Users\norela.briceno\Documents\Plan de acción\Plan Accion 2018\[Plan Accion Integrado ADRES Vigencia 2018 con Cuadro de Mando V6..xlsx]Plan de Accion 2018'!#REF!,Q136&lt;&gt;"N/A"))</xm:f>
            <x14:dxf>
              <fill>
                <patternFill>
                  <bgColor indexed="10"/>
                </patternFill>
              </fill>
            </x14:dxf>
          </x14:cfRule>
          <xm:sqref>Q136</xm:sqref>
        </x14:conditionalFormatting>
        <x14:conditionalFormatting xmlns:xm="http://schemas.microsoft.com/office/excel/2006/main">
          <x14:cfRule type="expression" priority="7147" id="{B35A0830-688D-4377-B838-41EFD605241B}">
            <xm:f>AND(IF(X136&gt;'F:\Users\norela.briceno\Documents\Plan de acción\Plan Accion 2018\[Plan Accion Integrado ADRES Vigencia 2018 con Cuadro de Mando V6..xlsx]Plan de Accion 2018'!#REF!,X136&lt;&gt;¨N/A¨))</xm:f>
            <x14:dxf>
              <fill>
                <patternFill>
                  <bgColor theme="1" tint="0.499984740745262"/>
                </patternFill>
              </fill>
            </x14:dxf>
          </x14:cfRule>
          <x14:cfRule type="expression" priority="7148" stopIfTrue="1" id="{2614E127-7276-443C-8993-7148656AE189}">
            <xm:f>AND(IF(X136='F:\Users\norela.briceno\Documents\Plan de acción\Plan Accion 2018\[Plan Accion Integrado ADRES Vigencia 2018 con Cuadro de Mando V6..xlsx]Plan de Accion 2018'!#REF!,X136&lt;&gt;"N/A"))</xm:f>
            <x14:dxf>
              <fill>
                <patternFill>
                  <bgColor rgb="FF00B050"/>
                </patternFill>
              </fill>
            </x14:dxf>
          </x14:cfRule>
          <x14:cfRule type="expression" priority="7149" stopIfTrue="1" id="{071080E1-97B6-4A66-B4F4-E42272847D39}">
            <xm:f>AND(IF(X136&lt;'F:\Users\norela.briceno\Documents\Plan de acción\Plan Accion 2018\[Plan Accion Integrado ADRES Vigencia 2018 con Cuadro de Mando V6..xlsx]Plan de Accion 2018'!#REF!,X136&lt;&gt;"N/A"))</xm:f>
            <x14:dxf>
              <fill>
                <patternFill>
                  <bgColor indexed="10"/>
                </patternFill>
              </fill>
            </x14:dxf>
          </x14:cfRule>
          <xm:sqref>X136</xm:sqref>
        </x14:conditionalFormatting>
        <x14:conditionalFormatting xmlns:xm="http://schemas.microsoft.com/office/excel/2006/main">
          <x14:cfRule type="expression" priority="7144" id="{2AC0D151-E594-42D7-A5BE-713FBCFC56B3}">
            <xm:f>AND(IF(X149&gt;'F:\Users\norela.briceno\Documents\Plan de acción\Plan Accion 2018\[Plan Accion Integrado ADRES Vigencia 2018 con Cuadro de Mando V6..xlsx]Plan de Accion 2018'!#REF!,X149&lt;&gt;¨N/A¨))</xm:f>
            <x14:dxf>
              <fill>
                <patternFill>
                  <bgColor theme="1" tint="0.499984740745262"/>
                </patternFill>
              </fill>
            </x14:dxf>
          </x14:cfRule>
          <x14:cfRule type="expression" priority="7145" stopIfTrue="1" id="{F9EF7432-A58C-4373-816B-2A9EAC4E6897}">
            <xm:f>AND(IF(X149='F:\Users\norela.briceno\Documents\Plan de acción\Plan Accion 2018\[Plan Accion Integrado ADRES Vigencia 2018 con Cuadro de Mando V6..xlsx]Plan de Accion 2018'!#REF!,X149&lt;&gt;"N/A"))</xm:f>
            <x14:dxf>
              <fill>
                <patternFill>
                  <bgColor rgb="FF00B050"/>
                </patternFill>
              </fill>
            </x14:dxf>
          </x14:cfRule>
          <x14:cfRule type="expression" priority="7146" stopIfTrue="1" id="{28CA51B3-6CB5-491B-8FC9-1C7718412343}">
            <xm:f>AND(IF(X149&lt;'F:\Users\norela.briceno\Documents\Plan de acción\Plan Accion 2018\[Plan Accion Integrado ADRES Vigencia 2018 con Cuadro de Mando V6..xlsx]Plan de Accion 2018'!#REF!,X149&lt;&gt;"N/A"))</xm:f>
            <x14:dxf>
              <fill>
                <patternFill>
                  <bgColor indexed="10"/>
                </patternFill>
              </fill>
            </x14:dxf>
          </x14:cfRule>
          <xm:sqref>X149</xm:sqref>
        </x14:conditionalFormatting>
        <x14:conditionalFormatting xmlns:xm="http://schemas.microsoft.com/office/excel/2006/main">
          <x14:cfRule type="expression" priority="7141" id="{C4FB8A54-F605-405D-A66F-2C478D12BF95}">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7142" stopIfTrue="1" id="{54D43E3C-B2F4-4A20-BF30-2B37700348FA}">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7143" stopIfTrue="1" id="{3DCFFFD2-CDB8-4EB8-941C-C84ECC7913A6}">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7138" id="{3DFF2A10-194A-47D6-BC7E-32332BE1D0C4}">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7139" stopIfTrue="1" id="{3E3C1E9C-656F-4229-8C52-D6FDD1EC9215}">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7140" stopIfTrue="1" id="{3CEA6E41-FAB5-434E-B900-E90F0434541E}">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7135" id="{5B188A36-F327-439A-AA81-123462043AD5}">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7136" stopIfTrue="1" id="{472B1FC2-BAE2-485B-AB2D-8086B06B44B5}">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7137" stopIfTrue="1" id="{47E85128-928B-4250-BA63-0DDFFF027412}">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7132" id="{ED96B563-26B2-400F-8615-8C24D1233733}">
            <xm:f>AND(IF(X154&gt;'F:\Users\norela.briceno\Documents\Plan de acción\Plan Accion 2018\[Plan Accion Integrado ADRES Vigencia 2018 con Cuadro de Mando V6..xlsx]Plan de Accion 2018'!#REF!,X154&lt;&gt;¨N/A¨))</xm:f>
            <x14:dxf>
              <fill>
                <patternFill>
                  <bgColor theme="1" tint="0.499984740745262"/>
                </patternFill>
              </fill>
            </x14:dxf>
          </x14:cfRule>
          <x14:cfRule type="expression" priority="7133" stopIfTrue="1" id="{43D7EAC2-776E-4AEB-B4E5-EC6FD5B02173}">
            <xm:f>AND(IF(X154='F:\Users\norela.briceno\Documents\Plan de acción\Plan Accion 2018\[Plan Accion Integrado ADRES Vigencia 2018 con Cuadro de Mando V6..xlsx]Plan de Accion 2018'!#REF!,X154&lt;&gt;"N/A"))</xm:f>
            <x14:dxf>
              <fill>
                <patternFill>
                  <bgColor rgb="FF00B050"/>
                </patternFill>
              </fill>
            </x14:dxf>
          </x14:cfRule>
          <x14:cfRule type="expression" priority="7134" stopIfTrue="1" id="{C6174C49-D57F-4844-80DD-3E9B736563EC}">
            <xm:f>AND(IF(X154&lt;'F:\Users\norela.briceno\Documents\Plan de acción\Plan Accion 2018\[Plan Accion Integrado ADRES Vigencia 2018 con Cuadro de Mando V6..xlsx]Plan de Accion 2018'!#REF!,X154&lt;&gt;"N/A"))</xm:f>
            <x14:dxf>
              <fill>
                <patternFill>
                  <bgColor indexed="10"/>
                </patternFill>
              </fill>
            </x14:dxf>
          </x14:cfRule>
          <xm:sqref>X154</xm:sqref>
        </x14:conditionalFormatting>
        <x14:conditionalFormatting xmlns:xm="http://schemas.microsoft.com/office/excel/2006/main">
          <x14:cfRule type="expression" priority="7126" id="{6CA7FAC9-680D-46ED-8AD0-6184A8E9F53D}">
            <xm:f>AND(IF(X165&gt;'F:\Users\norela.briceno\Documents\Plan de acción\Plan Accion 2018\[Plan Accion Integrado ADRES Vigencia 2018 con Cuadro de Mando V6..xlsx]Plan de Accion 2018'!#REF!,X165&lt;&gt;¨N/A¨))</xm:f>
            <x14:dxf>
              <fill>
                <patternFill>
                  <bgColor theme="1" tint="0.499984740745262"/>
                </patternFill>
              </fill>
            </x14:dxf>
          </x14:cfRule>
          <x14:cfRule type="expression" priority="7127" stopIfTrue="1" id="{494922ED-7C63-4CF9-94EF-87175DDBE91D}">
            <xm:f>AND(IF(X165='F:\Users\norela.briceno\Documents\Plan de acción\Plan Accion 2018\[Plan Accion Integrado ADRES Vigencia 2018 con Cuadro de Mando V6..xlsx]Plan de Accion 2018'!#REF!,X165&lt;&gt;"N/A"))</xm:f>
            <x14:dxf>
              <fill>
                <patternFill>
                  <bgColor rgb="FF00B050"/>
                </patternFill>
              </fill>
            </x14:dxf>
          </x14:cfRule>
          <x14:cfRule type="expression" priority="7128" stopIfTrue="1" id="{04AEA258-1A80-4BC5-B5AE-793F63998EB8}">
            <xm:f>AND(IF(X165&lt;'F:\Users\norela.briceno\Documents\Plan de acción\Plan Accion 2018\[Plan Accion Integrado ADRES Vigencia 2018 con Cuadro de Mando V6..xlsx]Plan de Accion 2018'!#REF!,X165&lt;&gt;"N/A"))</xm:f>
            <x14:dxf>
              <fill>
                <patternFill>
                  <bgColor indexed="10"/>
                </patternFill>
              </fill>
            </x14:dxf>
          </x14:cfRule>
          <xm:sqref>X165</xm:sqref>
        </x14:conditionalFormatting>
        <x14:conditionalFormatting xmlns:xm="http://schemas.microsoft.com/office/excel/2006/main">
          <x14:cfRule type="expression" priority="7123" id="{D2C1AF81-AFC9-4E3F-BA00-912909124BBD}">
            <xm:f>AND(IF(X168&gt;'F:\Users\norela.briceno\Documents\Plan de acción\Plan Accion 2018\[Plan Accion Integrado ADRES Vigencia 2018 con Cuadro de Mando V6..xlsx]Plan de Accion 2018'!#REF!,X168&lt;&gt;¨N/A¨))</xm:f>
            <x14:dxf>
              <fill>
                <patternFill>
                  <bgColor theme="1" tint="0.499984740745262"/>
                </patternFill>
              </fill>
            </x14:dxf>
          </x14:cfRule>
          <x14:cfRule type="expression" priority="7124" stopIfTrue="1" id="{8620BABF-60E3-4A11-9303-C560D0C4FF13}">
            <xm:f>AND(IF(X168='F:\Users\norela.briceno\Documents\Plan de acción\Plan Accion 2018\[Plan Accion Integrado ADRES Vigencia 2018 con Cuadro de Mando V6..xlsx]Plan de Accion 2018'!#REF!,X168&lt;&gt;"N/A"))</xm:f>
            <x14:dxf>
              <fill>
                <patternFill>
                  <bgColor rgb="FF00B050"/>
                </patternFill>
              </fill>
            </x14:dxf>
          </x14:cfRule>
          <x14:cfRule type="expression" priority="7125" stopIfTrue="1" id="{BB1BDFF3-1540-46DB-ACCF-CC60EA24E30D}">
            <xm:f>AND(IF(X168&lt;'F:\Users\norela.briceno\Documents\Plan de acción\Plan Accion 2018\[Plan Accion Integrado ADRES Vigencia 2018 con Cuadro de Mando V6..xlsx]Plan de Accion 2018'!#REF!,X168&lt;&gt;"N/A"))</xm:f>
            <x14:dxf>
              <fill>
                <patternFill>
                  <bgColor indexed="10"/>
                </patternFill>
              </fill>
            </x14:dxf>
          </x14:cfRule>
          <xm:sqref>X168</xm:sqref>
        </x14:conditionalFormatting>
        <x14:conditionalFormatting xmlns:xm="http://schemas.microsoft.com/office/excel/2006/main">
          <x14:cfRule type="expression" priority="7120" id="{C4FB4640-8DC5-4581-B744-358D2A8B1980}">
            <xm:f>AND(IF(X169&gt;'F:\Users\norela.briceno\Documents\Plan de acción\Plan Accion 2018\[Plan Accion Integrado ADRES Vigencia 2018 con Cuadro de Mando V6..xlsx]Plan de Accion 2018'!#REF!,X169&lt;&gt;¨N/A¨))</xm:f>
            <x14:dxf>
              <fill>
                <patternFill>
                  <bgColor theme="1" tint="0.499984740745262"/>
                </patternFill>
              </fill>
            </x14:dxf>
          </x14:cfRule>
          <x14:cfRule type="expression" priority="7121" stopIfTrue="1" id="{3620D59F-6592-43F7-A892-C65E8CD5657E}">
            <xm:f>AND(IF(X169='F:\Users\norela.briceno\Documents\Plan de acción\Plan Accion 2018\[Plan Accion Integrado ADRES Vigencia 2018 con Cuadro de Mando V6..xlsx]Plan de Accion 2018'!#REF!,X169&lt;&gt;"N/A"))</xm:f>
            <x14:dxf>
              <fill>
                <patternFill>
                  <bgColor rgb="FF00B050"/>
                </patternFill>
              </fill>
            </x14:dxf>
          </x14:cfRule>
          <x14:cfRule type="expression" priority="7122" stopIfTrue="1" id="{38610430-B864-4D71-A54B-84BDCCAA198E}">
            <xm:f>AND(IF(X169&lt;'F:\Users\norela.briceno\Documents\Plan de acción\Plan Accion 2018\[Plan Accion Integrado ADRES Vigencia 2018 con Cuadro de Mando V6..xlsx]Plan de Accion 2018'!#REF!,X169&lt;&gt;"N/A"))</xm:f>
            <x14:dxf>
              <fill>
                <patternFill>
                  <bgColor indexed="10"/>
                </patternFill>
              </fill>
            </x14:dxf>
          </x14:cfRule>
          <xm:sqref>X169</xm:sqref>
        </x14:conditionalFormatting>
        <x14:conditionalFormatting xmlns:xm="http://schemas.microsoft.com/office/excel/2006/main">
          <x14:cfRule type="expression" priority="7117" id="{8EB3506D-65E9-4D87-9A0B-7BC6B89391C6}">
            <xm:f>AND(IF(X170&gt;'F:\Users\norela.briceno\Documents\Plan de acción\Plan Accion 2018\[Plan Accion Integrado ADRES Vigencia 2018 con Cuadro de Mando V6..xlsx]Plan de Accion 2018'!#REF!,X170&lt;&gt;¨N/A¨))</xm:f>
            <x14:dxf>
              <fill>
                <patternFill>
                  <bgColor theme="1" tint="0.499984740745262"/>
                </patternFill>
              </fill>
            </x14:dxf>
          </x14:cfRule>
          <x14:cfRule type="expression" priority="7118" stopIfTrue="1" id="{8324613C-C40B-41EE-8880-0764E6503764}">
            <xm:f>AND(IF(X170='F:\Users\norela.briceno\Documents\Plan de acción\Plan Accion 2018\[Plan Accion Integrado ADRES Vigencia 2018 con Cuadro de Mando V6..xlsx]Plan de Accion 2018'!#REF!,X170&lt;&gt;"N/A"))</xm:f>
            <x14:dxf>
              <fill>
                <patternFill>
                  <bgColor rgb="FF00B050"/>
                </patternFill>
              </fill>
            </x14:dxf>
          </x14:cfRule>
          <x14:cfRule type="expression" priority="7119" stopIfTrue="1" id="{47F4966A-FD47-4EBD-AE49-A8D3262997DB}">
            <xm:f>AND(IF(X170&lt;'F:\Users\norela.briceno\Documents\Plan de acción\Plan Accion 2018\[Plan Accion Integrado ADRES Vigencia 2018 con Cuadro de Mando V6..xlsx]Plan de Accion 2018'!#REF!,X170&lt;&gt;"N/A"))</xm:f>
            <x14:dxf>
              <fill>
                <patternFill>
                  <bgColor indexed="10"/>
                </patternFill>
              </fill>
            </x14:dxf>
          </x14:cfRule>
          <xm:sqref>X170</xm:sqref>
        </x14:conditionalFormatting>
        <x14:conditionalFormatting xmlns:xm="http://schemas.microsoft.com/office/excel/2006/main">
          <x14:cfRule type="expression" priority="7114" id="{FB9FCEFD-FE56-4379-9C09-376FC91A93B2}">
            <xm:f>AND(IF(X171&gt;'F:\Users\norela.briceno\Documents\Plan de acción\Plan Accion 2018\[Plan Accion Integrado ADRES Vigencia 2018 con Cuadro de Mando V6..xlsx]Plan de Accion 2018'!#REF!,X171&lt;&gt;¨N/A¨))</xm:f>
            <x14:dxf>
              <fill>
                <patternFill>
                  <bgColor theme="1" tint="0.499984740745262"/>
                </patternFill>
              </fill>
            </x14:dxf>
          </x14:cfRule>
          <x14:cfRule type="expression" priority="7115" stopIfTrue="1" id="{B55F8DB0-81A6-4EC8-8999-F1A6A7294254}">
            <xm:f>AND(IF(X171='F:\Users\norela.briceno\Documents\Plan de acción\Plan Accion 2018\[Plan Accion Integrado ADRES Vigencia 2018 con Cuadro de Mando V6..xlsx]Plan de Accion 2018'!#REF!,X171&lt;&gt;"N/A"))</xm:f>
            <x14:dxf>
              <fill>
                <patternFill>
                  <bgColor rgb="FF00B050"/>
                </patternFill>
              </fill>
            </x14:dxf>
          </x14:cfRule>
          <x14:cfRule type="expression" priority="7116" stopIfTrue="1" id="{64E65B3D-FDC2-44BC-BD23-0C95A4FF0953}">
            <xm:f>AND(IF(X171&lt;'F:\Users\norela.briceno\Documents\Plan de acción\Plan Accion 2018\[Plan Accion Integrado ADRES Vigencia 2018 con Cuadro de Mando V6..xlsx]Plan de Accion 2018'!#REF!,X171&lt;&gt;"N/A"))</xm:f>
            <x14:dxf>
              <fill>
                <patternFill>
                  <bgColor indexed="10"/>
                </patternFill>
              </fill>
            </x14:dxf>
          </x14:cfRule>
          <xm:sqref>X171</xm:sqref>
        </x14:conditionalFormatting>
        <x14:conditionalFormatting xmlns:xm="http://schemas.microsoft.com/office/excel/2006/main">
          <x14:cfRule type="expression" priority="7111" id="{12588BA5-2E6B-4005-8369-85C4AD2675F1}">
            <xm:f>AND(IF(X173&gt;'F:\Users\norela.briceno\Documents\Plan de acción\Plan Accion 2018\[Plan Accion Integrado ADRES Vigencia 2018 con Cuadro de Mando V6..xlsx]Plan de Accion 2018'!#REF!,X173&lt;&gt;¨N/A¨))</xm:f>
            <x14:dxf>
              <fill>
                <patternFill>
                  <bgColor theme="1" tint="0.499984740745262"/>
                </patternFill>
              </fill>
            </x14:dxf>
          </x14:cfRule>
          <x14:cfRule type="expression" priority="7112" stopIfTrue="1" id="{ACF194C3-F833-4F70-B98B-528DC7365B7A}">
            <xm:f>AND(IF(X173='F:\Users\norela.briceno\Documents\Plan de acción\Plan Accion 2018\[Plan Accion Integrado ADRES Vigencia 2018 con Cuadro de Mando V6..xlsx]Plan de Accion 2018'!#REF!,X173&lt;&gt;"N/A"))</xm:f>
            <x14:dxf>
              <fill>
                <patternFill>
                  <bgColor rgb="FF00B050"/>
                </patternFill>
              </fill>
            </x14:dxf>
          </x14:cfRule>
          <x14:cfRule type="expression" priority="7113" stopIfTrue="1" id="{4E9B1DA1-F446-4324-8CD4-06A57689BA7F}">
            <xm:f>AND(IF(X173&lt;'F:\Users\norela.briceno\Documents\Plan de acción\Plan Accion 2018\[Plan Accion Integrado ADRES Vigencia 2018 con Cuadro de Mando V6..xlsx]Plan de Accion 2018'!#REF!,X173&lt;&gt;"N/A"))</xm:f>
            <x14:dxf>
              <fill>
                <patternFill>
                  <bgColor indexed="10"/>
                </patternFill>
              </fill>
            </x14:dxf>
          </x14:cfRule>
          <xm:sqref>X173</xm:sqref>
        </x14:conditionalFormatting>
        <x14:conditionalFormatting xmlns:xm="http://schemas.microsoft.com/office/excel/2006/main">
          <x14:cfRule type="expression" priority="7108" id="{6D58C1F3-EFA1-4AEC-9A6C-D58CCCB2E8DB}">
            <xm:f>AND(IF(X175&gt;'F:\Users\norela.briceno\Documents\Plan de acción\Plan Accion 2018\[Plan Accion Integrado ADRES Vigencia 2018 con Cuadro de Mando V6..xlsx]Plan de Accion 2018'!#REF!,X175&lt;&gt;¨N/A¨))</xm:f>
            <x14:dxf>
              <fill>
                <patternFill>
                  <bgColor theme="1" tint="0.499984740745262"/>
                </patternFill>
              </fill>
            </x14:dxf>
          </x14:cfRule>
          <x14:cfRule type="expression" priority="7109" stopIfTrue="1" id="{2B3A43C7-CF9B-4A03-87F6-BD1BFAB90F5A}">
            <xm:f>AND(IF(X175='F:\Users\norela.briceno\Documents\Plan de acción\Plan Accion 2018\[Plan Accion Integrado ADRES Vigencia 2018 con Cuadro de Mando V6..xlsx]Plan de Accion 2018'!#REF!,X175&lt;&gt;"N/A"))</xm:f>
            <x14:dxf>
              <fill>
                <patternFill>
                  <bgColor rgb="FF00B050"/>
                </patternFill>
              </fill>
            </x14:dxf>
          </x14:cfRule>
          <x14:cfRule type="expression" priority="7110" stopIfTrue="1" id="{824EA8EA-4238-4034-B7F7-2E2E3E741B5D}">
            <xm:f>AND(IF(X175&lt;'F:\Users\norela.briceno\Documents\Plan de acción\Plan Accion 2018\[Plan Accion Integrado ADRES Vigencia 2018 con Cuadro de Mando V6..xlsx]Plan de Accion 2018'!#REF!,X175&lt;&gt;"N/A"))</xm:f>
            <x14:dxf>
              <fill>
                <patternFill>
                  <bgColor indexed="10"/>
                </patternFill>
              </fill>
            </x14:dxf>
          </x14:cfRule>
          <xm:sqref>X175</xm:sqref>
        </x14:conditionalFormatting>
        <x14:conditionalFormatting xmlns:xm="http://schemas.microsoft.com/office/excel/2006/main">
          <x14:cfRule type="expression" priority="7105" id="{B028A017-8D78-4EFB-905E-69FC1B7CC28F}">
            <xm:f>AND(IF(X176&gt;'F:\Users\norela.briceno\Documents\Plan de acción\Plan Accion 2018\[Plan Accion Integrado ADRES Vigencia 2018 con Cuadro de Mando V6..xlsx]Plan de Accion 2018'!#REF!,X176&lt;&gt;¨N/A¨))</xm:f>
            <x14:dxf>
              <fill>
                <patternFill>
                  <bgColor theme="1" tint="0.499984740745262"/>
                </patternFill>
              </fill>
            </x14:dxf>
          </x14:cfRule>
          <x14:cfRule type="expression" priority="7106" stopIfTrue="1" id="{5D4B47A3-615A-4904-8D23-21D6235B18A8}">
            <xm:f>AND(IF(X176='F:\Users\norela.briceno\Documents\Plan de acción\Plan Accion 2018\[Plan Accion Integrado ADRES Vigencia 2018 con Cuadro de Mando V6..xlsx]Plan de Accion 2018'!#REF!,X176&lt;&gt;"N/A"))</xm:f>
            <x14:dxf>
              <fill>
                <patternFill>
                  <bgColor rgb="FF00B050"/>
                </patternFill>
              </fill>
            </x14:dxf>
          </x14:cfRule>
          <x14:cfRule type="expression" priority="7107" stopIfTrue="1" id="{9B9F23E9-D993-49EB-BC64-1F6C1E470A43}">
            <xm:f>AND(IF(X176&lt;'F:\Users\norela.briceno\Documents\Plan de acción\Plan Accion 2018\[Plan Accion Integrado ADRES Vigencia 2018 con Cuadro de Mando V6..xlsx]Plan de Accion 2018'!#REF!,X176&lt;&gt;"N/A"))</xm:f>
            <x14:dxf>
              <fill>
                <patternFill>
                  <bgColor indexed="10"/>
                </patternFill>
              </fill>
            </x14:dxf>
          </x14:cfRule>
          <xm:sqref>X176</xm:sqref>
        </x14:conditionalFormatting>
        <x14:conditionalFormatting xmlns:xm="http://schemas.microsoft.com/office/excel/2006/main">
          <x14:cfRule type="expression" priority="7102" id="{CA8F04EB-87D4-4412-BB30-43967020D518}">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7103" stopIfTrue="1" id="{81C62F97-6550-417B-B726-CE8A6B1E32C0}">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7104" stopIfTrue="1" id="{6F20158D-9EA0-4B58-B4AF-2CD08BC9D7C3}">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7099" id="{46F7489E-1510-434C-80B1-C0C025396FB5}">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7100" stopIfTrue="1" id="{2C1E23EE-E433-48E7-AF05-2F954974449F}">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7101" stopIfTrue="1" id="{FACD2FD4-4957-4A1F-B4AC-7022D73B6ECE}">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7096" id="{223962AB-D8ED-4BF5-8974-67FA3ACABF4F}">
            <xm:f>AND(IF(X187&gt;'F:\Users\norela.briceno\Documents\Plan de acción\Plan Accion 2018\[Plan Accion Integrado ADRES Vigencia 2018 con Cuadro de Mando V6..xlsx]Plan de Accion 2018'!#REF!,X187&lt;&gt;¨N/A¨))</xm:f>
            <x14:dxf>
              <fill>
                <patternFill>
                  <bgColor theme="1" tint="0.499984740745262"/>
                </patternFill>
              </fill>
            </x14:dxf>
          </x14:cfRule>
          <x14:cfRule type="expression" priority="7097" stopIfTrue="1" id="{8964B75C-09DB-4C16-937C-15E5024BF0FF}">
            <xm:f>AND(IF(X187='F:\Users\norela.briceno\Documents\Plan de acción\Plan Accion 2018\[Plan Accion Integrado ADRES Vigencia 2018 con Cuadro de Mando V6..xlsx]Plan de Accion 2018'!#REF!,X187&lt;&gt;"N/A"))</xm:f>
            <x14:dxf>
              <fill>
                <patternFill>
                  <bgColor rgb="FF00B050"/>
                </patternFill>
              </fill>
            </x14:dxf>
          </x14:cfRule>
          <x14:cfRule type="expression" priority="7098" stopIfTrue="1" id="{34FCE4B8-27F0-4600-9CB2-5AE7BB68EFED}">
            <xm:f>AND(IF(X187&lt;'F:\Users\norela.briceno\Documents\Plan de acción\Plan Accion 2018\[Plan Accion Integrado ADRES Vigencia 2018 con Cuadro de Mando V6..xlsx]Plan de Accion 2018'!#REF!,X187&lt;&gt;"N/A"))</xm:f>
            <x14:dxf>
              <fill>
                <patternFill>
                  <bgColor indexed="10"/>
                </patternFill>
              </fill>
            </x14:dxf>
          </x14:cfRule>
          <xm:sqref>X187</xm:sqref>
        </x14:conditionalFormatting>
        <x14:conditionalFormatting xmlns:xm="http://schemas.microsoft.com/office/excel/2006/main">
          <x14:cfRule type="expression" priority="7093" id="{2367B4CC-23BE-4972-BF85-1B64EEAE8B8C}">
            <xm:f>AND(IF(X188&gt;'F:\Users\norela.briceno\Documents\Plan de acción\Plan Accion 2018\[Plan Accion Integrado ADRES Vigencia 2018 con Cuadro de Mando V6..xlsx]Plan de Accion 2018'!#REF!,X188&lt;&gt;¨N/A¨))</xm:f>
            <x14:dxf>
              <fill>
                <patternFill>
                  <bgColor theme="1" tint="0.499984740745262"/>
                </patternFill>
              </fill>
            </x14:dxf>
          </x14:cfRule>
          <x14:cfRule type="expression" priority="7094" stopIfTrue="1" id="{95075E1C-89D4-49FE-BBEE-E536AA5CA539}">
            <xm:f>AND(IF(X188='F:\Users\norela.briceno\Documents\Plan de acción\Plan Accion 2018\[Plan Accion Integrado ADRES Vigencia 2018 con Cuadro de Mando V6..xlsx]Plan de Accion 2018'!#REF!,X188&lt;&gt;"N/A"))</xm:f>
            <x14:dxf>
              <fill>
                <patternFill>
                  <bgColor rgb="FF00B050"/>
                </patternFill>
              </fill>
            </x14:dxf>
          </x14:cfRule>
          <x14:cfRule type="expression" priority="7095" stopIfTrue="1" id="{F6FB11DD-1046-4EC7-A9AC-F367F7B9655B}">
            <xm:f>AND(IF(X188&lt;'F:\Users\norela.briceno\Documents\Plan de acción\Plan Accion 2018\[Plan Accion Integrado ADRES Vigencia 2018 con Cuadro de Mando V6..xlsx]Plan de Accion 2018'!#REF!,X188&lt;&gt;"N/A"))</xm:f>
            <x14:dxf>
              <fill>
                <patternFill>
                  <bgColor indexed="10"/>
                </patternFill>
              </fill>
            </x14:dxf>
          </x14:cfRule>
          <xm:sqref>X188</xm:sqref>
        </x14:conditionalFormatting>
        <x14:conditionalFormatting xmlns:xm="http://schemas.microsoft.com/office/excel/2006/main">
          <x14:cfRule type="expression" priority="7090" id="{87FC780F-700F-48CE-A71D-D325726F8B05}">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7091" stopIfTrue="1" id="{CC711FFD-490B-4ADB-8926-CE7CE4EE37C1}">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7092" stopIfTrue="1" id="{B6F5C917-AD3E-4B96-B43A-2F5833E21C56}">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7087" id="{D852B78F-9873-407F-B905-B6CC6BE5DB3D}">
            <xm:f>AND(IF(X194&gt;'F:\Users\norela.briceno\Documents\Plan de acción\Plan Accion 2018\[Plan Accion Integrado ADRES Vigencia 2018 con Cuadro de Mando V6..xlsx]Plan de Accion 2018'!#REF!,X194&lt;&gt;¨N/A¨))</xm:f>
            <x14:dxf>
              <fill>
                <patternFill>
                  <bgColor theme="1" tint="0.499984740745262"/>
                </patternFill>
              </fill>
            </x14:dxf>
          </x14:cfRule>
          <x14:cfRule type="expression" priority="7088" stopIfTrue="1" id="{4389C701-69B5-4C7D-B8AA-8911772A1512}">
            <xm:f>AND(IF(X194='F:\Users\norela.briceno\Documents\Plan de acción\Plan Accion 2018\[Plan Accion Integrado ADRES Vigencia 2018 con Cuadro de Mando V6..xlsx]Plan de Accion 2018'!#REF!,X194&lt;&gt;"N/A"))</xm:f>
            <x14:dxf>
              <fill>
                <patternFill>
                  <bgColor rgb="FF00B050"/>
                </patternFill>
              </fill>
            </x14:dxf>
          </x14:cfRule>
          <x14:cfRule type="expression" priority="7089" stopIfTrue="1" id="{7E1FF302-1EE9-42A5-B519-5BC242466CD2}">
            <xm:f>AND(IF(X194&lt;'F:\Users\norela.briceno\Documents\Plan de acción\Plan Accion 2018\[Plan Accion Integrado ADRES Vigencia 2018 con Cuadro de Mando V6..xlsx]Plan de Accion 2018'!#REF!,X194&lt;&gt;"N/A"))</xm:f>
            <x14:dxf>
              <fill>
                <patternFill>
                  <bgColor indexed="10"/>
                </patternFill>
              </fill>
            </x14:dxf>
          </x14:cfRule>
          <xm:sqref>X194</xm:sqref>
        </x14:conditionalFormatting>
        <x14:conditionalFormatting xmlns:xm="http://schemas.microsoft.com/office/excel/2006/main">
          <x14:cfRule type="expression" priority="7084" id="{8BFC0150-7893-4601-95DD-B93148542EA2}">
            <xm:f>AND(IF(X195&gt;'F:\Users\norela.briceno\Documents\Plan de acción\Plan Accion 2018\[Plan Accion Integrado ADRES Vigencia 2018 con Cuadro de Mando V6..xlsx]Plan de Accion 2018'!#REF!,X195&lt;&gt;¨N/A¨))</xm:f>
            <x14:dxf>
              <fill>
                <patternFill>
                  <bgColor theme="1" tint="0.499984740745262"/>
                </patternFill>
              </fill>
            </x14:dxf>
          </x14:cfRule>
          <x14:cfRule type="expression" priority="7085" stopIfTrue="1" id="{18EB7193-54D5-4CB4-A587-A0F74EC8756B}">
            <xm:f>AND(IF(X195='F:\Users\norela.briceno\Documents\Plan de acción\Plan Accion 2018\[Plan Accion Integrado ADRES Vigencia 2018 con Cuadro de Mando V6..xlsx]Plan de Accion 2018'!#REF!,X195&lt;&gt;"N/A"))</xm:f>
            <x14:dxf>
              <fill>
                <patternFill>
                  <bgColor rgb="FF00B050"/>
                </patternFill>
              </fill>
            </x14:dxf>
          </x14:cfRule>
          <x14:cfRule type="expression" priority="7086" stopIfTrue="1" id="{A9F8555F-934B-4F86-8BAB-4862945C4701}">
            <xm:f>AND(IF(X195&lt;'F:\Users\norela.briceno\Documents\Plan de acción\Plan Accion 2018\[Plan Accion Integrado ADRES Vigencia 2018 con Cuadro de Mando V6..xlsx]Plan de Accion 2018'!#REF!,X195&lt;&gt;"N/A"))</xm:f>
            <x14:dxf>
              <fill>
                <patternFill>
                  <bgColor indexed="10"/>
                </patternFill>
              </fill>
            </x14:dxf>
          </x14:cfRule>
          <xm:sqref>X195</xm:sqref>
        </x14:conditionalFormatting>
        <x14:conditionalFormatting xmlns:xm="http://schemas.microsoft.com/office/excel/2006/main">
          <x14:cfRule type="expression" priority="7081" id="{D029A8D1-D9AC-4FF8-BB71-5DF73C47A1FA}">
            <xm:f>AND(IF(X196&gt;'F:\Users\norela.briceno\Documents\Plan de acción\Plan Accion 2018\[Plan Accion Integrado ADRES Vigencia 2018 con Cuadro de Mando V6..xlsx]Plan de Accion 2018'!#REF!,X196&lt;&gt;¨N/A¨))</xm:f>
            <x14:dxf>
              <fill>
                <patternFill>
                  <bgColor theme="1" tint="0.499984740745262"/>
                </patternFill>
              </fill>
            </x14:dxf>
          </x14:cfRule>
          <x14:cfRule type="expression" priority="7082" stopIfTrue="1" id="{0FE63742-043B-494A-9F1F-B10D070A77F4}">
            <xm:f>AND(IF(X196='F:\Users\norela.briceno\Documents\Plan de acción\Plan Accion 2018\[Plan Accion Integrado ADRES Vigencia 2018 con Cuadro de Mando V6..xlsx]Plan de Accion 2018'!#REF!,X196&lt;&gt;"N/A"))</xm:f>
            <x14:dxf>
              <fill>
                <patternFill>
                  <bgColor rgb="FF00B050"/>
                </patternFill>
              </fill>
            </x14:dxf>
          </x14:cfRule>
          <x14:cfRule type="expression" priority="7083" stopIfTrue="1" id="{2AFDBCDF-3792-453A-B4DC-F4B74A61BE47}">
            <xm:f>AND(IF(X196&lt;'F:\Users\norela.briceno\Documents\Plan de acción\Plan Accion 2018\[Plan Accion Integrado ADRES Vigencia 2018 con Cuadro de Mando V6..xlsx]Plan de Accion 2018'!#REF!,X196&lt;&gt;"N/A"))</xm:f>
            <x14:dxf>
              <fill>
                <patternFill>
                  <bgColor indexed="10"/>
                </patternFill>
              </fill>
            </x14:dxf>
          </x14:cfRule>
          <xm:sqref>X196</xm:sqref>
        </x14:conditionalFormatting>
        <x14:conditionalFormatting xmlns:xm="http://schemas.microsoft.com/office/excel/2006/main">
          <x14:cfRule type="expression" priority="7078" id="{972BBD41-5E47-46A2-AAAA-ECC87CEC03ED}">
            <xm:f>AND(IF(X197&gt;'F:\Users\norela.briceno\Documents\Plan de acción\Plan Accion 2018\[Plan Accion Integrado ADRES Vigencia 2018 con Cuadro de Mando V6..xlsx]Plan de Accion 2018'!#REF!,X197&lt;&gt;¨N/A¨))</xm:f>
            <x14:dxf>
              <fill>
                <patternFill>
                  <bgColor theme="1" tint="0.499984740745262"/>
                </patternFill>
              </fill>
            </x14:dxf>
          </x14:cfRule>
          <x14:cfRule type="expression" priority="7079" stopIfTrue="1" id="{CD8B380C-FAE0-4343-A68F-D3D961B3AF28}">
            <xm:f>AND(IF(X197='F:\Users\norela.briceno\Documents\Plan de acción\Plan Accion 2018\[Plan Accion Integrado ADRES Vigencia 2018 con Cuadro de Mando V6..xlsx]Plan de Accion 2018'!#REF!,X197&lt;&gt;"N/A"))</xm:f>
            <x14:dxf>
              <fill>
                <patternFill>
                  <bgColor rgb="FF00B050"/>
                </patternFill>
              </fill>
            </x14:dxf>
          </x14:cfRule>
          <x14:cfRule type="expression" priority="7080" stopIfTrue="1" id="{75FC5A92-2955-4D22-A2E1-8D567586DF36}">
            <xm:f>AND(IF(X197&lt;'F:\Users\norela.briceno\Documents\Plan de acción\Plan Accion 2018\[Plan Accion Integrado ADRES Vigencia 2018 con Cuadro de Mando V6..xlsx]Plan de Accion 2018'!#REF!,X197&lt;&gt;"N/A"))</xm:f>
            <x14:dxf>
              <fill>
                <patternFill>
                  <bgColor indexed="10"/>
                </patternFill>
              </fill>
            </x14:dxf>
          </x14:cfRule>
          <xm:sqref>X197</xm:sqref>
        </x14:conditionalFormatting>
        <x14:conditionalFormatting xmlns:xm="http://schemas.microsoft.com/office/excel/2006/main">
          <x14:cfRule type="expression" priority="7075" id="{100E933B-4B86-4062-A537-1DC7EF36882D}">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7076" stopIfTrue="1" id="{8C2DDB7E-323D-42F3-B924-F5AA0203FC92}">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7077" stopIfTrue="1" id="{9563366B-FF5B-496C-B281-B8E7DB3C5EB8}">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7072" id="{04D3139F-CBE6-4E45-B486-B73BF6C3F4CC}">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7073" stopIfTrue="1" id="{812474D2-1472-4BEE-B367-6FE6D733B4A6}">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7074" stopIfTrue="1" id="{7C5FBC28-AB06-42D9-8935-B8FA879739A5}">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7069" id="{B5918568-9205-4994-AD2C-A0B09EC9EB7A}">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7070" stopIfTrue="1" id="{68182953-D66D-4DBD-812D-7C28BCFDF4CB}">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7071" stopIfTrue="1" id="{B3CA9E63-D8DF-4742-8C08-A848FE012EAE}">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7066" id="{3319807E-61FA-4418-B5D0-4BF58EEB2BBA}">
            <xm:f>AND(IF(X205&gt;'F:\Users\norela.briceno\Documents\Plan de acción\Plan Accion 2018\[Plan Accion Integrado ADRES Vigencia 2018 con Cuadro de Mando V6..xlsx]Plan de Accion 2018'!#REF!,X205&lt;&gt;¨N/A¨))</xm:f>
            <x14:dxf>
              <fill>
                <patternFill>
                  <bgColor theme="1" tint="0.499984740745262"/>
                </patternFill>
              </fill>
            </x14:dxf>
          </x14:cfRule>
          <x14:cfRule type="expression" priority="7067" stopIfTrue="1" id="{7FD69541-1C6B-4A58-969D-37778DC085DD}">
            <xm:f>AND(IF(X205='F:\Users\norela.briceno\Documents\Plan de acción\Plan Accion 2018\[Plan Accion Integrado ADRES Vigencia 2018 con Cuadro de Mando V6..xlsx]Plan de Accion 2018'!#REF!,X205&lt;&gt;"N/A"))</xm:f>
            <x14:dxf>
              <fill>
                <patternFill>
                  <bgColor rgb="FF00B050"/>
                </patternFill>
              </fill>
            </x14:dxf>
          </x14:cfRule>
          <x14:cfRule type="expression" priority="7068" stopIfTrue="1" id="{71C006F8-ED10-4276-B351-0E507093096D}">
            <xm:f>AND(IF(X205&lt;'F:\Users\norela.briceno\Documents\Plan de acción\Plan Accion 2018\[Plan Accion Integrado ADRES Vigencia 2018 con Cuadro de Mando V6..xlsx]Plan de Accion 2018'!#REF!,X205&lt;&gt;"N/A"))</xm:f>
            <x14:dxf>
              <fill>
                <patternFill>
                  <bgColor indexed="10"/>
                </patternFill>
              </fill>
            </x14:dxf>
          </x14:cfRule>
          <xm:sqref>X205</xm:sqref>
        </x14:conditionalFormatting>
        <x14:conditionalFormatting xmlns:xm="http://schemas.microsoft.com/office/excel/2006/main">
          <x14:cfRule type="expression" priority="7063" id="{05D9CC40-30E2-4C24-BF40-340ED070A2F5}">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7064" stopIfTrue="1" id="{17DB30C9-8CEF-4F85-B33C-1402B30C5C83}">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7065" stopIfTrue="1" id="{B56D6F9C-8A23-4921-921C-9954FA2C99B8}">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7060" id="{ECF40CF3-9B7B-4ED9-8863-A432129D1ACC}">
            <xm:f>AND(IF(X209&gt;'F:\Users\norela.briceno\Documents\Plan de acción\Plan Accion 2018\[Plan Accion Integrado ADRES Vigencia 2018 con Cuadro de Mando V6..xlsx]Plan de Accion 2018'!#REF!,X209&lt;&gt;¨N/A¨))</xm:f>
            <x14:dxf>
              <fill>
                <patternFill>
                  <bgColor theme="1" tint="0.499984740745262"/>
                </patternFill>
              </fill>
            </x14:dxf>
          </x14:cfRule>
          <x14:cfRule type="expression" priority="7061" stopIfTrue="1" id="{2E5DF0D0-EF86-4B1B-A18B-01F6CC19C218}">
            <xm:f>AND(IF(X209='F:\Users\norela.briceno\Documents\Plan de acción\Plan Accion 2018\[Plan Accion Integrado ADRES Vigencia 2018 con Cuadro de Mando V6..xlsx]Plan de Accion 2018'!#REF!,X209&lt;&gt;"N/A"))</xm:f>
            <x14:dxf>
              <fill>
                <patternFill>
                  <bgColor rgb="FF00B050"/>
                </patternFill>
              </fill>
            </x14:dxf>
          </x14:cfRule>
          <x14:cfRule type="expression" priority="7062" stopIfTrue="1" id="{AFB71002-ECDB-477A-8275-B76E30455CE0}">
            <xm:f>AND(IF(X209&lt;'F:\Users\norela.briceno\Documents\Plan de acción\Plan Accion 2018\[Plan Accion Integrado ADRES Vigencia 2018 con Cuadro de Mando V6..xlsx]Plan de Accion 2018'!#REF!,X209&lt;&gt;"N/A"))</xm:f>
            <x14:dxf>
              <fill>
                <patternFill>
                  <bgColor indexed="10"/>
                </patternFill>
              </fill>
            </x14:dxf>
          </x14:cfRule>
          <xm:sqref>X209</xm:sqref>
        </x14:conditionalFormatting>
        <x14:conditionalFormatting xmlns:xm="http://schemas.microsoft.com/office/excel/2006/main">
          <x14:cfRule type="expression" priority="7057" id="{6FC9E34E-851B-41FF-A1B5-48893777B3BA}">
            <xm:f>AND(IF(X210&gt;'F:\Users\norela.briceno\Documents\Plan de acción\Plan Accion 2018\[Plan Accion Integrado ADRES Vigencia 2018 con Cuadro de Mando V6..xlsx]Plan de Accion 2018'!#REF!,X210&lt;&gt;¨N/A¨))</xm:f>
            <x14:dxf>
              <fill>
                <patternFill>
                  <bgColor theme="1" tint="0.499984740745262"/>
                </patternFill>
              </fill>
            </x14:dxf>
          </x14:cfRule>
          <x14:cfRule type="expression" priority="7058" stopIfTrue="1" id="{3A68538D-9394-4679-A9DC-396F0C5826C9}">
            <xm:f>AND(IF(X210='F:\Users\norela.briceno\Documents\Plan de acción\Plan Accion 2018\[Plan Accion Integrado ADRES Vigencia 2018 con Cuadro de Mando V6..xlsx]Plan de Accion 2018'!#REF!,X210&lt;&gt;"N/A"))</xm:f>
            <x14:dxf>
              <fill>
                <patternFill>
                  <bgColor rgb="FF00B050"/>
                </patternFill>
              </fill>
            </x14:dxf>
          </x14:cfRule>
          <x14:cfRule type="expression" priority="7059" stopIfTrue="1" id="{1651849B-06F9-47BC-A6EB-AFC213AA6EB5}">
            <xm:f>AND(IF(X210&lt;'F:\Users\norela.briceno\Documents\Plan de acción\Plan Accion 2018\[Plan Accion Integrado ADRES Vigencia 2018 con Cuadro de Mando V6..xlsx]Plan de Accion 2018'!#REF!,X210&lt;&gt;"N/A"))</xm:f>
            <x14:dxf>
              <fill>
                <patternFill>
                  <bgColor indexed="10"/>
                </patternFill>
              </fill>
            </x14:dxf>
          </x14:cfRule>
          <xm:sqref>X210</xm:sqref>
        </x14:conditionalFormatting>
        <x14:conditionalFormatting xmlns:xm="http://schemas.microsoft.com/office/excel/2006/main">
          <x14:cfRule type="expression" priority="7054" id="{D8816492-2D6A-4ED4-B63F-44723723A38C}">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7055" stopIfTrue="1" id="{86760853-FB6F-4A75-956C-369415622E2C}">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7056" stopIfTrue="1" id="{E3C0BF48-AD4E-4F54-978A-15674D55CF8A}">
            <xm:f>AND(IF(X211&lt;'F:\Users\norela.briceno\Documents\Plan de acción\Plan Accion 2018\[Plan Accion Integrado ADRES Vigencia 2018 con Cuadro de Mando V6..xlsx]Plan de Accion 2018'!#REF!,X211&lt;&gt;"N/A"))</xm:f>
            <x14:dxf>
              <fill>
                <patternFill>
                  <bgColor indexed="10"/>
                </patternFill>
              </fill>
            </x14:dxf>
          </x14:cfRule>
          <xm:sqref>X211</xm:sqref>
        </x14:conditionalFormatting>
        <x14:conditionalFormatting xmlns:xm="http://schemas.microsoft.com/office/excel/2006/main">
          <x14:cfRule type="expression" priority="7051" id="{91ED1D2C-A6D2-4956-88E1-61AC08B28FFD}">
            <xm:f>AND(IF(X212&gt;'F:\Users\norela.briceno\Documents\Plan de acción\Plan Accion 2018\[Plan Accion Integrado ADRES Vigencia 2018 con Cuadro de Mando V6..xlsx]Plan de Accion 2018'!#REF!,X212&lt;&gt;¨N/A¨))</xm:f>
            <x14:dxf>
              <fill>
                <patternFill>
                  <bgColor theme="1" tint="0.499984740745262"/>
                </patternFill>
              </fill>
            </x14:dxf>
          </x14:cfRule>
          <x14:cfRule type="expression" priority="7052" stopIfTrue="1" id="{E3E4D189-091A-46FC-92DD-D60264AA7CDB}">
            <xm:f>AND(IF(X212='F:\Users\norela.briceno\Documents\Plan de acción\Plan Accion 2018\[Plan Accion Integrado ADRES Vigencia 2018 con Cuadro de Mando V6..xlsx]Plan de Accion 2018'!#REF!,X212&lt;&gt;"N/A"))</xm:f>
            <x14:dxf>
              <fill>
                <patternFill>
                  <bgColor rgb="FF00B050"/>
                </patternFill>
              </fill>
            </x14:dxf>
          </x14:cfRule>
          <x14:cfRule type="expression" priority="7053" stopIfTrue="1" id="{9F69EE73-B215-4A40-BE89-05433DDE7FE4}">
            <xm:f>AND(IF(X212&lt;'F:\Users\norela.briceno\Documents\Plan de acción\Plan Accion 2018\[Plan Accion Integrado ADRES Vigencia 2018 con Cuadro de Mando V6..xlsx]Plan de Accion 2018'!#REF!,X212&lt;&gt;"N/A"))</xm:f>
            <x14:dxf>
              <fill>
                <patternFill>
                  <bgColor indexed="10"/>
                </patternFill>
              </fill>
            </x14:dxf>
          </x14:cfRule>
          <xm:sqref>X212</xm:sqref>
        </x14:conditionalFormatting>
        <x14:conditionalFormatting xmlns:xm="http://schemas.microsoft.com/office/excel/2006/main">
          <x14:cfRule type="expression" priority="7048" id="{7162D03A-FD6F-4FF4-878F-AC4DE0828F81}">
            <xm:f>AND(IF(X213&gt;'F:\Users\norela.briceno\Documents\Plan de acción\Plan Accion 2018\[Plan Accion Integrado ADRES Vigencia 2018 con Cuadro de Mando V6..xlsx]Plan de Accion 2018'!#REF!,X213&lt;&gt;¨N/A¨))</xm:f>
            <x14:dxf>
              <fill>
                <patternFill>
                  <bgColor theme="1" tint="0.499984740745262"/>
                </patternFill>
              </fill>
            </x14:dxf>
          </x14:cfRule>
          <x14:cfRule type="expression" priority="7049" stopIfTrue="1" id="{A68A8F21-0BD5-4DAF-980D-1CBAF7A11891}">
            <xm:f>AND(IF(X213='F:\Users\norela.briceno\Documents\Plan de acción\Plan Accion 2018\[Plan Accion Integrado ADRES Vigencia 2018 con Cuadro de Mando V6..xlsx]Plan de Accion 2018'!#REF!,X213&lt;&gt;"N/A"))</xm:f>
            <x14:dxf>
              <fill>
                <patternFill>
                  <bgColor rgb="FF00B050"/>
                </patternFill>
              </fill>
            </x14:dxf>
          </x14:cfRule>
          <x14:cfRule type="expression" priority="7050" stopIfTrue="1" id="{82B41E2F-44F8-41EB-BC52-DDF65FCA4C30}">
            <xm:f>AND(IF(X213&lt;'F:\Users\norela.briceno\Documents\Plan de acción\Plan Accion 2018\[Plan Accion Integrado ADRES Vigencia 2018 con Cuadro de Mando V6..xlsx]Plan de Accion 2018'!#REF!,X213&lt;&gt;"N/A"))</xm:f>
            <x14:dxf>
              <fill>
                <patternFill>
                  <bgColor indexed="10"/>
                </patternFill>
              </fill>
            </x14:dxf>
          </x14:cfRule>
          <xm:sqref>X213</xm:sqref>
        </x14:conditionalFormatting>
        <x14:conditionalFormatting xmlns:xm="http://schemas.microsoft.com/office/excel/2006/main">
          <x14:cfRule type="expression" priority="7045" id="{44217AA0-6B6A-484F-91DC-B60C84A610F9}">
            <xm:f>AND(IF(X233&gt;'F:\Users\norela.briceno\Documents\Plan de acción\Plan Accion 2018\[Plan Accion Integrado ADRES Vigencia 2018 con Cuadro de Mando V6..xlsx]Plan de Accion 2018'!#REF!,X233&lt;&gt;¨N/A¨))</xm:f>
            <x14:dxf>
              <fill>
                <patternFill>
                  <bgColor theme="1" tint="0.499984740745262"/>
                </patternFill>
              </fill>
            </x14:dxf>
          </x14:cfRule>
          <x14:cfRule type="expression" priority="7046" stopIfTrue="1" id="{11965BCD-3451-4322-A6FD-1DAC8E094166}">
            <xm:f>AND(IF(X233='F:\Users\norela.briceno\Documents\Plan de acción\Plan Accion 2018\[Plan Accion Integrado ADRES Vigencia 2018 con Cuadro de Mando V6..xlsx]Plan de Accion 2018'!#REF!,X233&lt;&gt;"N/A"))</xm:f>
            <x14:dxf>
              <fill>
                <patternFill>
                  <bgColor rgb="FF00B050"/>
                </patternFill>
              </fill>
            </x14:dxf>
          </x14:cfRule>
          <x14:cfRule type="expression" priority="7047" stopIfTrue="1" id="{8740CBD0-421A-43D2-81E0-89991AE22718}">
            <xm:f>AND(IF(X233&lt;'F:\Users\norela.briceno\Documents\Plan de acción\Plan Accion 2018\[Plan Accion Integrado ADRES Vigencia 2018 con Cuadro de Mando V6..xlsx]Plan de Accion 2018'!#REF!,X233&lt;&gt;"N/A"))</xm:f>
            <x14:dxf>
              <fill>
                <patternFill>
                  <bgColor indexed="10"/>
                </patternFill>
              </fill>
            </x14:dxf>
          </x14:cfRule>
          <xm:sqref>X233</xm:sqref>
        </x14:conditionalFormatting>
        <x14:conditionalFormatting xmlns:xm="http://schemas.microsoft.com/office/excel/2006/main">
          <x14:cfRule type="expression" priority="7039" id="{E1F81414-26A1-4897-90A7-AD7BCBDC014A}">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7040" stopIfTrue="1" id="{3D3A6AE1-11F4-4427-A715-E4C8D4B21296}">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7041" stopIfTrue="1" id="{DA910E49-48C2-4733-B566-63C3AB682DD8}">
            <xm:f>AND(IF(X239&lt;'F:\Users\norela.briceno\Documents\Plan de acción\Plan Accion 2018\[Plan Accion Integrado ADRES Vigencia 2018 con Cuadro de Mando V6..xlsx]Plan de Accion 2018'!#REF!,X239&lt;&gt;"N/A"))</xm:f>
            <x14:dxf>
              <fill>
                <patternFill>
                  <bgColor indexed="10"/>
                </patternFill>
              </fill>
            </x14:dxf>
          </x14:cfRule>
          <xm:sqref>X239</xm:sqref>
        </x14:conditionalFormatting>
        <x14:conditionalFormatting xmlns:xm="http://schemas.microsoft.com/office/excel/2006/main">
          <x14:cfRule type="expression" priority="7036" id="{571C2AB2-69FC-467A-BBF7-79120C1A490C}">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7037" stopIfTrue="1" id="{C0CF9514-A341-4789-AFB9-1A2054108F12}">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7038" stopIfTrue="1" id="{B955995F-920F-4597-8FBC-658650DE83F1}">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7033" id="{1B2AD623-0AC3-4109-9FCA-1C67AC02D95E}">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7034" stopIfTrue="1" id="{9514E247-098E-47E5-8C42-CAB2C09B8718}">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7035" stopIfTrue="1" id="{7DE8F108-B31D-4A94-B1AA-405E55843408}">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7030" id="{4A54DEFB-8172-43A5-A3F5-CBCE0CB1C478}">
            <xm:f>AND(IF(X245&gt;'F:\Users\norela.briceno\Documents\Plan de acción\Plan Accion 2018\[Plan Accion Integrado ADRES Vigencia 2018 con Cuadro de Mando V6..xlsx]Plan de Accion 2018'!#REF!,X245&lt;&gt;¨N/A¨))</xm:f>
            <x14:dxf>
              <fill>
                <patternFill>
                  <bgColor theme="1" tint="0.499984740745262"/>
                </patternFill>
              </fill>
            </x14:dxf>
          </x14:cfRule>
          <x14:cfRule type="expression" priority="7031" stopIfTrue="1" id="{BA6D88E1-EDCF-4289-8DC0-EA85BA73F923}">
            <xm:f>AND(IF(X245='F:\Users\norela.briceno\Documents\Plan de acción\Plan Accion 2018\[Plan Accion Integrado ADRES Vigencia 2018 con Cuadro de Mando V6..xlsx]Plan de Accion 2018'!#REF!,X245&lt;&gt;"N/A"))</xm:f>
            <x14:dxf>
              <fill>
                <patternFill>
                  <bgColor rgb="FF00B050"/>
                </patternFill>
              </fill>
            </x14:dxf>
          </x14:cfRule>
          <x14:cfRule type="expression" priority="7032" stopIfTrue="1" id="{8D254F6B-4BBF-49A9-BBCC-B985A1099D95}">
            <xm:f>AND(IF(X245&lt;'F:\Users\norela.briceno\Documents\Plan de acción\Plan Accion 2018\[Plan Accion Integrado ADRES Vigencia 2018 con Cuadro de Mando V6..xlsx]Plan de Accion 2018'!#REF!,X245&lt;&gt;"N/A"))</xm:f>
            <x14:dxf>
              <fill>
                <patternFill>
                  <bgColor indexed="10"/>
                </patternFill>
              </fill>
            </x14:dxf>
          </x14:cfRule>
          <xm:sqref>X245</xm:sqref>
        </x14:conditionalFormatting>
        <x14:conditionalFormatting xmlns:xm="http://schemas.microsoft.com/office/excel/2006/main">
          <x14:cfRule type="expression" priority="7027" id="{9C9ABAFF-E18E-435C-A6C2-D5E8CED80305}">
            <xm:f>AND(IF(X246&gt;'F:\Users\norela.briceno\Documents\Plan de acción\Plan Accion 2018\[Plan Accion Integrado ADRES Vigencia 2018 con Cuadro de Mando V6..xlsx]Plan de Accion 2018'!#REF!,X246&lt;&gt;¨N/A¨))</xm:f>
            <x14:dxf>
              <fill>
                <patternFill>
                  <bgColor theme="1" tint="0.499984740745262"/>
                </patternFill>
              </fill>
            </x14:dxf>
          </x14:cfRule>
          <x14:cfRule type="expression" priority="7028" stopIfTrue="1" id="{F2212B43-24EB-4ACD-96EC-E6FD1082C8EB}">
            <xm:f>AND(IF(X246='F:\Users\norela.briceno\Documents\Plan de acción\Plan Accion 2018\[Plan Accion Integrado ADRES Vigencia 2018 con Cuadro de Mando V6..xlsx]Plan de Accion 2018'!#REF!,X246&lt;&gt;"N/A"))</xm:f>
            <x14:dxf>
              <fill>
                <patternFill>
                  <bgColor rgb="FF00B050"/>
                </patternFill>
              </fill>
            </x14:dxf>
          </x14:cfRule>
          <x14:cfRule type="expression" priority="7029" stopIfTrue="1" id="{22556FD6-D67C-4F09-A53D-95F92A2FF428}">
            <xm:f>AND(IF(X246&lt;'F:\Users\norela.briceno\Documents\Plan de acción\Plan Accion 2018\[Plan Accion Integrado ADRES Vigencia 2018 con Cuadro de Mando V6..xlsx]Plan de Accion 2018'!#REF!,X246&lt;&gt;"N/A"))</xm:f>
            <x14:dxf>
              <fill>
                <patternFill>
                  <bgColor indexed="10"/>
                </patternFill>
              </fill>
            </x14:dxf>
          </x14:cfRule>
          <xm:sqref>X246</xm:sqref>
        </x14:conditionalFormatting>
        <x14:conditionalFormatting xmlns:xm="http://schemas.microsoft.com/office/excel/2006/main">
          <x14:cfRule type="expression" priority="7024" id="{72AB1E79-E562-453C-8932-B873EB255E11}">
            <xm:f>AND(IF(X247&gt;'F:\Users\norela.briceno\Documents\Plan de acción\Plan Accion 2018\[Plan Accion Integrado ADRES Vigencia 2018 con Cuadro de Mando V6..xlsx]Plan de Accion 2018'!#REF!,X247&lt;&gt;¨N/A¨))</xm:f>
            <x14:dxf>
              <fill>
                <patternFill>
                  <bgColor theme="1" tint="0.499984740745262"/>
                </patternFill>
              </fill>
            </x14:dxf>
          </x14:cfRule>
          <x14:cfRule type="expression" priority="7025" stopIfTrue="1" id="{AAAD96B5-80AF-4F36-85D0-E08FEFBB39BF}">
            <xm:f>AND(IF(X247='F:\Users\norela.briceno\Documents\Plan de acción\Plan Accion 2018\[Plan Accion Integrado ADRES Vigencia 2018 con Cuadro de Mando V6..xlsx]Plan de Accion 2018'!#REF!,X247&lt;&gt;"N/A"))</xm:f>
            <x14:dxf>
              <fill>
                <patternFill>
                  <bgColor rgb="FF00B050"/>
                </patternFill>
              </fill>
            </x14:dxf>
          </x14:cfRule>
          <x14:cfRule type="expression" priority="7026" stopIfTrue="1" id="{09333FA0-3B34-469A-819D-49D090F1B301}">
            <xm:f>AND(IF(X247&lt;'F:\Users\norela.briceno\Documents\Plan de acción\Plan Accion 2018\[Plan Accion Integrado ADRES Vigencia 2018 con Cuadro de Mando V6..xlsx]Plan de Accion 2018'!#REF!,X247&lt;&gt;"N/A"))</xm:f>
            <x14:dxf>
              <fill>
                <patternFill>
                  <bgColor indexed="10"/>
                </patternFill>
              </fill>
            </x14:dxf>
          </x14:cfRule>
          <xm:sqref>X247</xm:sqref>
        </x14:conditionalFormatting>
        <x14:conditionalFormatting xmlns:xm="http://schemas.microsoft.com/office/excel/2006/main">
          <x14:cfRule type="expression" priority="7021" id="{824A5B64-5EA9-43F1-8A70-011001757BC9}">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7022" stopIfTrue="1" id="{7CA5CCAD-2F82-4743-9F77-4D4DD2F89956}">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7023" stopIfTrue="1" id="{A0634DA7-DC90-4ADA-9D11-097E35E4EE93}">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7018" id="{28F28E94-CA31-4B53-93C5-1739CC99AB45}">
            <xm:f>AND(IF(X357&gt;'F:\Users\norela.briceno\Documents\Plan de acción\Plan Accion 2018\[Plan Accion Integrado ADRES Vigencia 2018 con Cuadro de Mando V6..xlsx]Plan de Accion 2018'!#REF!,X357&lt;&gt;¨N/A¨))</xm:f>
            <x14:dxf>
              <fill>
                <patternFill>
                  <bgColor theme="1" tint="0.499984740745262"/>
                </patternFill>
              </fill>
            </x14:dxf>
          </x14:cfRule>
          <x14:cfRule type="expression" priority="7019" stopIfTrue="1" id="{0A053A9B-4084-4D92-A72B-C4E8175134D6}">
            <xm:f>AND(IF(X357='F:\Users\norela.briceno\Documents\Plan de acción\Plan Accion 2018\[Plan Accion Integrado ADRES Vigencia 2018 con Cuadro de Mando V6..xlsx]Plan de Accion 2018'!#REF!,X357&lt;&gt;"N/A"))</xm:f>
            <x14:dxf>
              <fill>
                <patternFill>
                  <bgColor rgb="FF00B050"/>
                </patternFill>
              </fill>
            </x14:dxf>
          </x14:cfRule>
          <x14:cfRule type="expression" priority="7020" stopIfTrue="1" id="{3F2B70C0-9600-4E92-A42D-82FB319628F5}">
            <xm:f>AND(IF(X357&lt;'F:\Users\norela.briceno\Documents\Plan de acción\Plan Accion 2018\[Plan Accion Integrado ADRES Vigencia 2018 con Cuadro de Mando V6..xlsx]Plan de Accion 2018'!#REF!,X357&lt;&gt;"N/A"))</xm:f>
            <x14:dxf>
              <fill>
                <patternFill>
                  <bgColor indexed="10"/>
                </patternFill>
              </fill>
            </x14:dxf>
          </x14:cfRule>
          <xm:sqref>X357</xm:sqref>
        </x14:conditionalFormatting>
        <x14:conditionalFormatting xmlns:xm="http://schemas.microsoft.com/office/excel/2006/main">
          <x14:cfRule type="expression" priority="7015" id="{99ACA62B-7F1F-4FAA-9E17-6CA1A66B3CBE}">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7016" stopIfTrue="1" id="{204AD163-2C8D-479C-9FE2-C99402ED32CD}">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7017" stopIfTrue="1" id="{13426739-A6D0-47EF-B565-01D45D38E01C}">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7012" id="{FDB9D8EE-56AD-488A-990B-8548D16797BF}">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7013" stopIfTrue="1" id="{87041507-A287-45CA-83BA-66B900677CAD}">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7014" stopIfTrue="1" id="{44F884D0-91EF-492C-B436-9A36DEA03808}">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7009" id="{A35C4030-41A3-44D6-A649-E80FB0AB10C2}">
            <xm:f>AND(IF(X251&gt;'F:\Users\norela.briceno\Documents\Plan de acción\Plan Accion 2018\[Plan Accion Integrado ADRES Vigencia 2018 con Cuadro de Mando V6..xlsx]Plan de Accion 2018'!#REF!,X251&lt;&gt;¨N/A¨))</xm:f>
            <x14:dxf>
              <fill>
                <patternFill>
                  <bgColor theme="1" tint="0.499984740745262"/>
                </patternFill>
              </fill>
            </x14:dxf>
          </x14:cfRule>
          <x14:cfRule type="expression" priority="7010" stopIfTrue="1" id="{27EBDC64-E756-490B-B30C-9CA0C41CA442}">
            <xm:f>AND(IF(X251='F:\Users\norela.briceno\Documents\Plan de acción\Plan Accion 2018\[Plan Accion Integrado ADRES Vigencia 2018 con Cuadro de Mando V6..xlsx]Plan de Accion 2018'!#REF!,X251&lt;&gt;"N/A"))</xm:f>
            <x14:dxf>
              <fill>
                <patternFill>
                  <bgColor rgb="FF00B050"/>
                </patternFill>
              </fill>
            </x14:dxf>
          </x14:cfRule>
          <x14:cfRule type="expression" priority="7011" stopIfTrue="1" id="{3BF761AA-01A3-4230-AB04-E91F787A6DB1}">
            <xm:f>AND(IF(X251&lt;'F:\Users\norela.briceno\Documents\Plan de acción\Plan Accion 2018\[Plan Accion Integrado ADRES Vigencia 2018 con Cuadro de Mando V6..xlsx]Plan de Accion 2018'!#REF!,X251&lt;&gt;"N/A"))</xm:f>
            <x14:dxf>
              <fill>
                <patternFill>
                  <bgColor indexed="10"/>
                </patternFill>
              </fill>
            </x14:dxf>
          </x14:cfRule>
          <xm:sqref>X251</xm:sqref>
        </x14:conditionalFormatting>
        <x14:conditionalFormatting xmlns:xm="http://schemas.microsoft.com/office/excel/2006/main">
          <x14:cfRule type="expression" priority="7006" id="{02113761-3D49-4B61-A541-52FD70290624}">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7007" stopIfTrue="1" id="{EA973C81-8A97-4FE7-87B3-2752FF839355}">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7008" stopIfTrue="1" id="{461FF990-FA6F-4B67-98AE-00DB44866145}">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7003" id="{058E7A4B-780A-4638-ABD1-D4FFD0B77C24}">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7004" stopIfTrue="1" id="{93095577-FEA8-4797-8978-C20C5CAD2EE5}">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7005" stopIfTrue="1" id="{6EDDD59B-5795-49F7-A070-D569B61EA65D}">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7000" id="{62BED001-481F-4CF2-AD65-25A302BAB4AD}">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7001" stopIfTrue="1" id="{5F8B206F-F6E9-43DC-9100-59F9E271AB3A}">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7002" stopIfTrue="1" id="{7995B95C-C3F1-44E5-8D1A-CD5251F16C25}">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6997" id="{63C3B098-95B7-4A9A-B6A3-00B137043960}">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6998" stopIfTrue="1" id="{9114DD2E-811E-4F01-B4D5-51A7D3B75389}">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6999" stopIfTrue="1" id="{375521C1-0833-4CBA-AC7A-12AC392CA9C4}">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6994" id="{BD1DAB85-0132-47AA-B7BF-D804C3BF19D3}">
            <xm:f>AND(IF(X257&gt;'F:\Users\norela.briceno\Documents\Plan de acción\Plan Accion 2018\[Plan Accion Integrado ADRES Vigencia 2018 con Cuadro de Mando V6..xlsx]Plan de Accion 2018'!#REF!,X257&lt;&gt;¨N/A¨))</xm:f>
            <x14:dxf>
              <fill>
                <patternFill>
                  <bgColor theme="1" tint="0.499984740745262"/>
                </patternFill>
              </fill>
            </x14:dxf>
          </x14:cfRule>
          <x14:cfRule type="expression" priority="6995" stopIfTrue="1" id="{18A4A9C8-7BFE-494F-B82A-4908E148643A}">
            <xm:f>AND(IF(X257='F:\Users\norela.briceno\Documents\Plan de acción\Plan Accion 2018\[Plan Accion Integrado ADRES Vigencia 2018 con Cuadro de Mando V6..xlsx]Plan de Accion 2018'!#REF!,X257&lt;&gt;"N/A"))</xm:f>
            <x14:dxf>
              <fill>
                <patternFill>
                  <bgColor rgb="FF00B050"/>
                </patternFill>
              </fill>
            </x14:dxf>
          </x14:cfRule>
          <x14:cfRule type="expression" priority="6996" stopIfTrue="1" id="{950127B8-B9BF-4540-842A-5DA0185A17C0}">
            <xm:f>AND(IF(X257&lt;'F:\Users\norela.briceno\Documents\Plan de acción\Plan Accion 2018\[Plan Accion Integrado ADRES Vigencia 2018 con Cuadro de Mando V6..xlsx]Plan de Accion 2018'!#REF!,X257&lt;&gt;"N/A"))</xm:f>
            <x14:dxf>
              <fill>
                <patternFill>
                  <bgColor indexed="10"/>
                </patternFill>
              </fill>
            </x14:dxf>
          </x14:cfRule>
          <xm:sqref>X257</xm:sqref>
        </x14:conditionalFormatting>
        <x14:conditionalFormatting xmlns:xm="http://schemas.microsoft.com/office/excel/2006/main">
          <x14:cfRule type="expression" priority="6991" id="{F9589E80-74A8-4843-989F-FB27BF9985E8}">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6992" stopIfTrue="1" id="{089874AC-9BEF-4BB2-9592-98EE952669BA}">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6993" stopIfTrue="1" id="{2E8D2CA6-A723-48BB-A181-5CFC9B2E12EF}">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6988" id="{2AC23CF8-3B80-4B47-9EA8-39080A21E1F1}">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6989" stopIfTrue="1" id="{08B3A822-B101-4262-B091-DB8EA45D4E0F}">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6990" stopIfTrue="1" id="{EEF09249-8B58-4D3F-9AF3-C79F8C87AA0F}">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6985" id="{ACCB28A9-0487-411B-856C-48335FCEAD5A}">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6986" stopIfTrue="1" id="{D55B5FE1-A447-4449-A606-5640C3220703}">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6987" stopIfTrue="1" id="{FCE081D2-4D0E-4EF1-96C2-6C6B98705A89}">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6982" id="{8F3C5A20-1B0D-4BB5-8B2A-583350CB1478}">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6983" stopIfTrue="1" id="{44EA4250-636B-483C-9948-8D57476F81B0}">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6984" stopIfTrue="1" id="{C9575002-1C8C-4D36-9026-4A52C263AFEA}">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6979" id="{9F8ECB4C-F90A-4A67-9734-6ED8D02E3980}">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6980" stopIfTrue="1" id="{7E836943-D240-4B67-980D-CE91322C4045}">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6981" stopIfTrue="1" id="{69966678-ACEF-4691-9E11-49CF9AAB0C95}">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6976" id="{61B3D519-E748-4549-B51C-F066C533E991}">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6977" stopIfTrue="1" id="{BB6B9EF3-A279-490A-B855-3F4A3EF2C8B6}">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6978" stopIfTrue="1" id="{41779ADA-6A15-4697-A868-A682DC7861DC}">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6934" id="{E64D5ED3-469A-4087-9B83-F621823B6F53}">
            <xm:f>AND(IF(X284&gt;'F:\Users\norela.briceno\Documents\Plan de acción\Plan Accion 2018\[Plan Accion Integrado ADRES Vigencia 2018 con Cuadro de Mando V6..xlsx]Plan de Accion 2018'!#REF!,X284&lt;&gt;¨N/A¨))</xm:f>
            <x14:dxf>
              <fill>
                <patternFill>
                  <bgColor theme="1" tint="0.499984740745262"/>
                </patternFill>
              </fill>
            </x14:dxf>
          </x14:cfRule>
          <x14:cfRule type="expression" priority="6935" stopIfTrue="1" id="{0F950A5B-05C3-456E-9191-A80E9ECA5FA1}">
            <xm:f>AND(IF(X284='F:\Users\norela.briceno\Documents\Plan de acción\Plan Accion 2018\[Plan Accion Integrado ADRES Vigencia 2018 con Cuadro de Mando V6..xlsx]Plan de Accion 2018'!#REF!,X284&lt;&gt;"N/A"))</xm:f>
            <x14:dxf>
              <fill>
                <patternFill>
                  <bgColor rgb="FF00B050"/>
                </patternFill>
              </fill>
            </x14:dxf>
          </x14:cfRule>
          <x14:cfRule type="expression" priority="6936" stopIfTrue="1" id="{EBBED17D-FED2-4E5A-8A96-3BA9370A7022}">
            <xm:f>AND(IF(X284&lt;'F:\Users\norela.briceno\Documents\Plan de acción\Plan Accion 2018\[Plan Accion Integrado ADRES Vigencia 2018 con Cuadro de Mando V6..xlsx]Plan de Accion 2018'!#REF!,X284&lt;&gt;"N/A"))</xm:f>
            <x14:dxf>
              <fill>
                <patternFill>
                  <bgColor indexed="10"/>
                </patternFill>
              </fill>
            </x14:dxf>
          </x14:cfRule>
          <xm:sqref>X284</xm:sqref>
        </x14:conditionalFormatting>
        <x14:conditionalFormatting xmlns:xm="http://schemas.microsoft.com/office/excel/2006/main">
          <x14:cfRule type="expression" priority="6970" id="{11AE12C2-1A02-49D9-9BC8-4304F996C501}">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6971" stopIfTrue="1" id="{696E670C-BA6C-43DC-A194-9FB73C010859}">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6972" stopIfTrue="1" id="{9441D1CA-CE85-4454-953B-A9FF8D85F25A}">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6967" id="{2BE1CA22-DE2D-40BF-8911-9F1331E66343}">
            <xm:f>AND(IF(X267&gt;'F:\Users\norela.briceno\Documents\Plan de acción\Plan Accion 2018\[Plan Accion Integrado ADRES Vigencia 2018 con Cuadro de Mando V6..xlsx]Plan de Accion 2018'!#REF!,X267&lt;&gt;¨N/A¨))</xm:f>
            <x14:dxf>
              <fill>
                <patternFill>
                  <bgColor theme="1" tint="0.499984740745262"/>
                </patternFill>
              </fill>
            </x14:dxf>
          </x14:cfRule>
          <x14:cfRule type="expression" priority="6968" stopIfTrue="1" id="{B50C9818-5BEA-4B02-830D-0A864D2539FF}">
            <xm:f>AND(IF(X267='F:\Users\norela.briceno\Documents\Plan de acción\Plan Accion 2018\[Plan Accion Integrado ADRES Vigencia 2018 con Cuadro de Mando V6..xlsx]Plan de Accion 2018'!#REF!,X267&lt;&gt;"N/A"))</xm:f>
            <x14:dxf>
              <fill>
                <patternFill>
                  <bgColor rgb="FF00B050"/>
                </patternFill>
              </fill>
            </x14:dxf>
          </x14:cfRule>
          <x14:cfRule type="expression" priority="6969" stopIfTrue="1" id="{3E841FB9-D30D-43BD-800F-137206DF15F4}">
            <xm:f>AND(IF(X267&lt;'F:\Users\norela.briceno\Documents\Plan de acción\Plan Accion 2018\[Plan Accion Integrado ADRES Vigencia 2018 con Cuadro de Mando V6..xlsx]Plan de Accion 2018'!#REF!,X267&lt;&gt;"N/A"))</xm:f>
            <x14:dxf>
              <fill>
                <patternFill>
                  <bgColor indexed="10"/>
                </patternFill>
              </fill>
            </x14:dxf>
          </x14:cfRule>
          <xm:sqref>X267</xm:sqref>
        </x14:conditionalFormatting>
        <x14:conditionalFormatting xmlns:xm="http://schemas.microsoft.com/office/excel/2006/main">
          <x14:cfRule type="expression" priority="6964" id="{A931D7A7-55FC-4AFE-909F-9260E74AE2B3}">
            <xm:f>AND(IF(X268&gt;'F:\Users\norela.briceno\Documents\Plan de acción\Plan Accion 2018\[Plan Accion Integrado ADRES Vigencia 2018 con Cuadro de Mando V6..xlsx]Plan de Accion 2018'!#REF!,X268&lt;&gt;¨N/A¨))</xm:f>
            <x14:dxf>
              <fill>
                <patternFill>
                  <bgColor theme="1" tint="0.499984740745262"/>
                </patternFill>
              </fill>
            </x14:dxf>
          </x14:cfRule>
          <x14:cfRule type="expression" priority="6965" stopIfTrue="1" id="{4E7CE4A3-9996-4818-B9DA-2B4A974A8CB8}">
            <xm:f>AND(IF(X268='F:\Users\norela.briceno\Documents\Plan de acción\Plan Accion 2018\[Plan Accion Integrado ADRES Vigencia 2018 con Cuadro de Mando V6..xlsx]Plan de Accion 2018'!#REF!,X268&lt;&gt;"N/A"))</xm:f>
            <x14:dxf>
              <fill>
                <patternFill>
                  <bgColor rgb="FF00B050"/>
                </patternFill>
              </fill>
            </x14:dxf>
          </x14:cfRule>
          <x14:cfRule type="expression" priority="6966" stopIfTrue="1" id="{B829A972-1A74-46B3-A8C6-5575063751E4}">
            <xm:f>AND(IF(X268&lt;'F:\Users\norela.briceno\Documents\Plan de acción\Plan Accion 2018\[Plan Accion Integrado ADRES Vigencia 2018 con Cuadro de Mando V6..xlsx]Plan de Accion 2018'!#REF!,X268&lt;&gt;"N/A"))</xm:f>
            <x14:dxf>
              <fill>
                <patternFill>
                  <bgColor indexed="10"/>
                </patternFill>
              </fill>
            </x14:dxf>
          </x14:cfRule>
          <xm:sqref>X268</xm:sqref>
        </x14:conditionalFormatting>
        <x14:conditionalFormatting xmlns:xm="http://schemas.microsoft.com/office/excel/2006/main">
          <x14:cfRule type="expression" priority="6961" id="{05375932-E8C4-4699-9586-469EAFB7A24D}">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6962" stopIfTrue="1" id="{05631205-9550-4D05-9D1B-E76DC3366AC3}">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6963" stopIfTrue="1" id="{9E8B7E02-D83C-4AC3-B8BE-662AE90D0611}">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6958" id="{19B2B739-4B75-4727-B81D-DD0099C05F57}">
            <xm:f>AND(IF(X270&gt;'F:\Users\norela.briceno\Documents\Plan de acción\Plan Accion 2018\[Plan Accion Integrado ADRES Vigencia 2018 con Cuadro de Mando V6..xlsx]Plan de Accion 2018'!#REF!,X270&lt;&gt;¨N/A¨))</xm:f>
            <x14:dxf>
              <fill>
                <patternFill>
                  <bgColor theme="1" tint="0.499984740745262"/>
                </patternFill>
              </fill>
            </x14:dxf>
          </x14:cfRule>
          <x14:cfRule type="expression" priority="6959" stopIfTrue="1" id="{03304283-7B80-4ED1-86DA-88AD39D470E5}">
            <xm:f>AND(IF(X270='F:\Users\norela.briceno\Documents\Plan de acción\Plan Accion 2018\[Plan Accion Integrado ADRES Vigencia 2018 con Cuadro de Mando V6..xlsx]Plan de Accion 2018'!#REF!,X270&lt;&gt;"N/A"))</xm:f>
            <x14:dxf>
              <fill>
                <patternFill>
                  <bgColor rgb="FF00B050"/>
                </patternFill>
              </fill>
            </x14:dxf>
          </x14:cfRule>
          <x14:cfRule type="expression" priority="6960" stopIfTrue="1" id="{E8B37DBC-4D14-4C7F-A0B3-970B6B81A4B0}">
            <xm:f>AND(IF(X270&lt;'F:\Users\norela.briceno\Documents\Plan de acción\Plan Accion 2018\[Plan Accion Integrado ADRES Vigencia 2018 con Cuadro de Mando V6..xlsx]Plan de Accion 2018'!#REF!,X270&lt;&gt;"N/A"))</xm:f>
            <x14:dxf>
              <fill>
                <patternFill>
                  <bgColor indexed="10"/>
                </patternFill>
              </fill>
            </x14:dxf>
          </x14:cfRule>
          <xm:sqref>X270</xm:sqref>
        </x14:conditionalFormatting>
        <x14:conditionalFormatting xmlns:xm="http://schemas.microsoft.com/office/excel/2006/main">
          <x14:cfRule type="expression" priority="6955" id="{A4BD94F4-94E8-4B58-BF22-2D7763B5E384}">
            <xm:f>AND(IF(X271&gt;'F:\Users\norela.briceno\Documents\Plan de acción\Plan Accion 2018\[Plan Accion Integrado ADRES Vigencia 2018 con Cuadro de Mando V6..xlsx]Plan de Accion 2018'!#REF!,X271&lt;&gt;¨N/A¨))</xm:f>
            <x14:dxf>
              <fill>
                <patternFill>
                  <bgColor theme="1" tint="0.499984740745262"/>
                </patternFill>
              </fill>
            </x14:dxf>
          </x14:cfRule>
          <x14:cfRule type="expression" priority="6956" stopIfTrue="1" id="{0F964BCC-EE19-40FE-AAA6-FDB9AEDA6C9E}">
            <xm:f>AND(IF(X271='F:\Users\norela.briceno\Documents\Plan de acción\Plan Accion 2018\[Plan Accion Integrado ADRES Vigencia 2018 con Cuadro de Mando V6..xlsx]Plan de Accion 2018'!#REF!,X271&lt;&gt;"N/A"))</xm:f>
            <x14:dxf>
              <fill>
                <patternFill>
                  <bgColor rgb="FF00B050"/>
                </patternFill>
              </fill>
            </x14:dxf>
          </x14:cfRule>
          <x14:cfRule type="expression" priority="6957" stopIfTrue="1" id="{5B2647D9-B096-4E07-BEBE-0EC36B354C99}">
            <xm:f>AND(IF(X271&lt;'F:\Users\norela.briceno\Documents\Plan de acción\Plan Accion 2018\[Plan Accion Integrado ADRES Vigencia 2018 con Cuadro de Mando V6..xlsx]Plan de Accion 2018'!#REF!,X271&lt;&gt;"N/A"))</xm:f>
            <x14:dxf>
              <fill>
                <patternFill>
                  <bgColor indexed="10"/>
                </patternFill>
              </fill>
            </x14:dxf>
          </x14:cfRule>
          <xm:sqref>X271</xm:sqref>
        </x14:conditionalFormatting>
        <x14:conditionalFormatting xmlns:xm="http://schemas.microsoft.com/office/excel/2006/main">
          <x14:cfRule type="expression" priority="6952" id="{A5E8188D-9530-4940-8835-F4BB7FB914CD}">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6953" stopIfTrue="1" id="{E551EBD0-CBFB-4217-8FE5-7B6313704609}">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6954" stopIfTrue="1" id="{9E1BF07E-4108-4F34-8FAF-13269DF4FB20}">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6949" id="{BEB8373A-F015-48BF-8B47-34A7F2FEEA5F}">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6950" stopIfTrue="1" id="{16BE376F-0CBC-4578-8A8B-364C7E4B9723}">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6951" stopIfTrue="1" id="{2D89DA6C-7CF2-43BA-8CC4-22AA482A9870}">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6946" id="{A8B3C4E4-BAA6-4905-8651-D85752DDD539}">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6947" stopIfTrue="1" id="{AF078B7A-9678-4084-846D-76912C99D93F}">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6948" stopIfTrue="1" id="{E1F5A88E-62AA-41E8-97FE-E6E0D9A951D6}">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6943" id="{A0DB0845-0A2F-4E85-8146-34B8725FB760}">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6944" stopIfTrue="1" id="{C2DD19BE-9EEA-4683-86BE-5FFD16B057C4}">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6945" stopIfTrue="1" id="{4427CC31-27D0-43DA-A9F3-D2D22F0ACD73}">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6940" id="{CF1C103F-5D59-47D2-B2EE-CBEE3EC0B8B6}">
            <xm:f>AND(IF(X276&gt;'F:\Users\norela.briceno\Documents\Plan de acción\Plan Accion 2018\[Plan Accion Integrado ADRES Vigencia 2018 con Cuadro de Mando V6..xlsx]Plan de Accion 2018'!#REF!,X276&lt;&gt;¨N/A¨))</xm:f>
            <x14:dxf>
              <fill>
                <patternFill>
                  <bgColor theme="1" tint="0.499984740745262"/>
                </patternFill>
              </fill>
            </x14:dxf>
          </x14:cfRule>
          <x14:cfRule type="expression" priority="6941" stopIfTrue="1" id="{FD6C8D1B-911E-45B8-BF8B-3444CB9E4795}">
            <xm:f>AND(IF(X276='F:\Users\norela.briceno\Documents\Plan de acción\Plan Accion 2018\[Plan Accion Integrado ADRES Vigencia 2018 con Cuadro de Mando V6..xlsx]Plan de Accion 2018'!#REF!,X276&lt;&gt;"N/A"))</xm:f>
            <x14:dxf>
              <fill>
                <patternFill>
                  <bgColor rgb="FF00B050"/>
                </patternFill>
              </fill>
            </x14:dxf>
          </x14:cfRule>
          <x14:cfRule type="expression" priority="6942" stopIfTrue="1" id="{70D66B03-4AFD-4024-BDEB-B5BABA5E8050}">
            <xm:f>AND(IF(X276&lt;'F:\Users\norela.briceno\Documents\Plan de acción\Plan Accion 2018\[Plan Accion Integrado ADRES Vigencia 2018 con Cuadro de Mando V6..xlsx]Plan de Accion 2018'!#REF!,X276&lt;&gt;"N/A"))</xm:f>
            <x14:dxf>
              <fill>
                <patternFill>
                  <bgColor indexed="10"/>
                </patternFill>
              </fill>
            </x14:dxf>
          </x14:cfRule>
          <xm:sqref>X276</xm:sqref>
        </x14:conditionalFormatting>
        <x14:conditionalFormatting xmlns:xm="http://schemas.microsoft.com/office/excel/2006/main">
          <x14:cfRule type="expression" priority="6937" id="{5074389F-A03E-4341-9666-7DC94CD3BE4D}">
            <xm:f>AND(IF(X277&gt;'F:\Users\norela.briceno\Documents\Plan de acción\Plan Accion 2018\[Plan Accion Integrado ADRES Vigencia 2018 con Cuadro de Mando V6..xlsx]Plan de Accion 2018'!#REF!,X277&lt;&gt;¨N/A¨))</xm:f>
            <x14:dxf>
              <fill>
                <patternFill>
                  <bgColor theme="1" tint="0.499984740745262"/>
                </patternFill>
              </fill>
            </x14:dxf>
          </x14:cfRule>
          <x14:cfRule type="expression" priority="6938" stopIfTrue="1" id="{E67AB42E-D4EC-42F0-8739-1BF198DCF926}">
            <xm:f>AND(IF(X277='F:\Users\norela.briceno\Documents\Plan de acción\Plan Accion 2018\[Plan Accion Integrado ADRES Vigencia 2018 con Cuadro de Mando V6..xlsx]Plan de Accion 2018'!#REF!,X277&lt;&gt;"N/A"))</xm:f>
            <x14:dxf>
              <fill>
                <patternFill>
                  <bgColor rgb="FF00B050"/>
                </patternFill>
              </fill>
            </x14:dxf>
          </x14:cfRule>
          <x14:cfRule type="expression" priority="6939" stopIfTrue="1" id="{496E4543-CCEF-43B1-9CEF-161824F11372}">
            <xm:f>AND(IF(X277&lt;'F:\Users\norela.briceno\Documents\Plan de acción\Plan Accion 2018\[Plan Accion Integrado ADRES Vigencia 2018 con Cuadro de Mando V6..xlsx]Plan de Accion 2018'!#REF!,X277&lt;&gt;"N/A"))</xm:f>
            <x14:dxf>
              <fill>
                <patternFill>
                  <bgColor indexed="10"/>
                </patternFill>
              </fill>
            </x14:dxf>
          </x14:cfRule>
          <xm:sqref>X277</xm:sqref>
        </x14:conditionalFormatting>
        <x14:conditionalFormatting xmlns:xm="http://schemas.microsoft.com/office/excel/2006/main">
          <x14:cfRule type="expression" priority="6931" id="{AD84F002-1A94-4BBA-93F7-E7D713A0F489}">
            <xm:f>AND(IF(X287&gt;'F:\Users\norela.briceno\Documents\Plan de acción\Plan Accion 2018\[Plan Accion Integrado ADRES Vigencia 2018 con Cuadro de Mando V6..xlsx]Plan de Accion 2018'!#REF!,X287&lt;&gt;¨N/A¨))</xm:f>
            <x14:dxf>
              <fill>
                <patternFill>
                  <bgColor theme="1" tint="0.499984740745262"/>
                </patternFill>
              </fill>
            </x14:dxf>
          </x14:cfRule>
          <x14:cfRule type="expression" priority="6932" stopIfTrue="1" id="{5507D00B-6310-40A8-92EB-A2133FCAA571}">
            <xm:f>AND(IF(X287='F:\Users\norela.briceno\Documents\Plan de acción\Plan Accion 2018\[Plan Accion Integrado ADRES Vigencia 2018 con Cuadro de Mando V6..xlsx]Plan de Accion 2018'!#REF!,X287&lt;&gt;"N/A"))</xm:f>
            <x14:dxf>
              <fill>
                <patternFill>
                  <bgColor rgb="FF00B050"/>
                </patternFill>
              </fill>
            </x14:dxf>
          </x14:cfRule>
          <x14:cfRule type="expression" priority="6933" stopIfTrue="1" id="{9BA5CC62-706F-4FFE-924F-66ED2B755039}">
            <xm:f>AND(IF(X287&lt;'F:\Users\norela.briceno\Documents\Plan de acción\Plan Accion 2018\[Plan Accion Integrado ADRES Vigencia 2018 con Cuadro de Mando V6..xlsx]Plan de Accion 2018'!#REF!,X287&lt;&gt;"N/A"))</xm:f>
            <x14:dxf>
              <fill>
                <patternFill>
                  <bgColor indexed="10"/>
                </patternFill>
              </fill>
            </x14:dxf>
          </x14:cfRule>
          <xm:sqref>X287</xm:sqref>
        </x14:conditionalFormatting>
        <x14:conditionalFormatting xmlns:xm="http://schemas.microsoft.com/office/excel/2006/main">
          <x14:cfRule type="expression" priority="6928" id="{8CB76048-960D-4B3B-A35F-221E8D7A4E68}">
            <xm:f>AND(IF(X288&gt;'F:\Users\norela.briceno\Documents\Plan de acción\Plan Accion 2018\[Plan Accion Integrado ADRES Vigencia 2018 con Cuadro de Mando V6..xlsx]Plan de Accion 2018'!#REF!,X288&lt;&gt;¨N/A¨))</xm:f>
            <x14:dxf>
              <fill>
                <patternFill>
                  <bgColor theme="1" tint="0.499984740745262"/>
                </patternFill>
              </fill>
            </x14:dxf>
          </x14:cfRule>
          <x14:cfRule type="expression" priority="6929" stopIfTrue="1" id="{15A0054B-F405-4E13-B8EE-5F14223C7600}">
            <xm:f>AND(IF(X288='F:\Users\norela.briceno\Documents\Plan de acción\Plan Accion 2018\[Plan Accion Integrado ADRES Vigencia 2018 con Cuadro de Mando V6..xlsx]Plan de Accion 2018'!#REF!,X288&lt;&gt;"N/A"))</xm:f>
            <x14:dxf>
              <fill>
                <patternFill>
                  <bgColor rgb="FF00B050"/>
                </patternFill>
              </fill>
            </x14:dxf>
          </x14:cfRule>
          <x14:cfRule type="expression" priority="6930" stopIfTrue="1" id="{CD85CBD5-E253-4B3D-BAE5-056F48A02C31}">
            <xm:f>AND(IF(X288&lt;'F:\Users\norela.briceno\Documents\Plan de acción\Plan Accion 2018\[Plan Accion Integrado ADRES Vigencia 2018 con Cuadro de Mando V6..xlsx]Plan de Accion 2018'!#REF!,X288&lt;&gt;"N/A"))</xm:f>
            <x14:dxf>
              <fill>
                <patternFill>
                  <bgColor indexed="10"/>
                </patternFill>
              </fill>
            </x14:dxf>
          </x14:cfRule>
          <xm:sqref>X288</xm:sqref>
        </x14:conditionalFormatting>
        <x14:conditionalFormatting xmlns:xm="http://schemas.microsoft.com/office/excel/2006/main">
          <x14:cfRule type="expression" priority="6925" id="{C20B3FCD-D368-40FB-BF2B-96E4E088386B}">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6926" stopIfTrue="1" id="{B77C1172-F062-4DB6-A616-340A6344FD57}">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6927" stopIfTrue="1" id="{1A70AEB2-2BBF-4F60-8037-63401D383307}">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6922" id="{820DC77F-5C62-480F-9127-20BDBBFB112D}">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6923" stopIfTrue="1" id="{ACB67091-E312-4C13-A136-31F2B3E3E71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6924" stopIfTrue="1" id="{B9D23984-EA1B-4C10-A335-73B95F558B46}">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6919" id="{6DEAD6E9-04E0-4068-BDA8-0BB141A795E7}">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6920" stopIfTrue="1" id="{DA45ADEA-5A48-47F2-8210-E34B5AED6E86}">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6921" stopIfTrue="1" id="{61D38104-662C-4CB6-9959-649F7DDA0897}">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6916" id="{55BC7DF6-90E8-47F2-AC24-F08EA08D1B91}">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6917" stopIfTrue="1" id="{EABC1881-3707-4D86-8D19-799F3CF2F52B}">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6918" stopIfTrue="1" id="{7411A284-E47F-4EB1-B355-F590874BE57C}">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6913" id="{8233F2C0-924F-41F1-AF4B-88863F39096E}">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6914" stopIfTrue="1" id="{78E849C4-2502-4AD4-87BD-CB7F8598744D}">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6915" stopIfTrue="1" id="{2697C74B-19C0-4397-9F3A-59B362A8FFDD}">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6910" id="{5803BB87-1376-4FFE-AFA6-F928162EE95D}">
            <xm:f>AND(IF(X297&gt;'F:\Users\norela.briceno\Documents\Plan de acción\Plan Accion 2018\[Plan Accion Integrado ADRES Vigencia 2018 con Cuadro de Mando V6..xlsx]Plan de Accion 2018'!#REF!,X297&lt;&gt;¨N/A¨))</xm:f>
            <x14:dxf>
              <fill>
                <patternFill>
                  <bgColor theme="1" tint="0.499984740745262"/>
                </patternFill>
              </fill>
            </x14:dxf>
          </x14:cfRule>
          <x14:cfRule type="expression" priority="6911" stopIfTrue="1" id="{C10ABD3D-9E98-4C93-A67B-B934FBC940F6}">
            <xm:f>AND(IF(X297='F:\Users\norela.briceno\Documents\Plan de acción\Plan Accion 2018\[Plan Accion Integrado ADRES Vigencia 2018 con Cuadro de Mando V6..xlsx]Plan de Accion 2018'!#REF!,X297&lt;&gt;"N/A"))</xm:f>
            <x14:dxf>
              <fill>
                <patternFill>
                  <bgColor rgb="FF00B050"/>
                </patternFill>
              </fill>
            </x14:dxf>
          </x14:cfRule>
          <x14:cfRule type="expression" priority="6912" stopIfTrue="1" id="{F1F6B9E1-DFC2-48AF-9FF2-53BAC882F750}">
            <xm:f>AND(IF(X297&lt;'F:\Users\norela.briceno\Documents\Plan de acción\Plan Accion 2018\[Plan Accion Integrado ADRES Vigencia 2018 con Cuadro de Mando V6..xlsx]Plan de Accion 2018'!#REF!,X297&lt;&gt;"N/A"))</xm:f>
            <x14:dxf>
              <fill>
                <patternFill>
                  <bgColor indexed="10"/>
                </patternFill>
              </fill>
            </x14:dxf>
          </x14:cfRule>
          <xm:sqref>X297</xm:sqref>
        </x14:conditionalFormatting>
        <x14:conditionalFormatting xmlns:xm="http://schemas.microsoft.com/office/excel/2006/main">
          <x14:cfRule type="expression" priority="6904" id="{D826BFDC-C27D-4EAB-ADF3-145C46930A24}">
            <xm:f>AND(IF(X301&gt;'F:\Users\norela.briceno\Documents\Plan de acción\Plan Accion 2018\[Plan Accion Integrado ADRES Vigencia 2018 con Cuadro de Mando V6..xlsx]Plan de Accion 2018'!#REF!,X301&lt;&gt;¨N/A¨))</xm:f>
            <x14:dxf>
              <fill>
                <patternFill>
                  <bgColor theme="1" tint="0.499984740745262"/>
                </patternFill>
              </fill>
            </x14:dxf>
          </x14:cfRule>
          <x14:cfRule type="expression" priority="6905" stopIfTrue="1" id="{CBF8BCAC-A26F-4ECF-BD71-57D02157B63E}">
            <xm:f>AND(IF(X301='F:\Users\norela.briceno\Documents\Plan de acción\Plan Accion 2018\[Plan Accion Integrado ADRES Vigencia 2018 con Cuadro de Mando V6..xlsx]Plan de Accion 2018'!#REF!,X301&lt;&gt;"N/A"))</xm:f>
            <x14:dxf>
              <fill>
                <patternFill>
                  <bgColor rgb="FF00B050"/>
                </patternFill>
              </fill>
            </x14:dxf>
          </x14:cfRule>
          <x14:cfRule type="expression" priority="6906" stopIfTrue="1" id="{B74ACFAC-7155-46E0-9290-49FF2F0C64E7}">
            <xm:f>AND(IF(X301&lt;'F:\Users\norela.briceno\Documents\Plan de acción\Plan Accion 2018\[Plan Accion Integrado ADRES Vigencia 2018 con Cuadro de Mando V6..xlsx]Plan de Accion 2018'!#REF!,X301&lt;&gt;"N/A"))</xm:f>
            <x14:dxf>
              <fill>
                <patternFill>
                  <bgColor indexed="10"/>
                </patternFill>
              </fill>
            </x14:dxf>
          </x14:cfRule>
          <xm:sqref>X301</xm:sqref>
        </x14:conditionalFormatting>
        <x14:conditionalFormatting xmlns:xm="http://schemas.microsoft.com/office/excel/2006/main">
          <x14:cfRule type="expression" priority="6901" id="{86FB3F21-AB27-4A04-AA21-AF9CA07CA2C5}">
            <xm:f>AND(IF(X302&gt;'F:\Users\norela.briceno\Documents\Plan de acción\Plan Accion 2018\[Plan Accion Integrado ADRES Vigencia 2018 con Cuadro de Mando V6..xlsx]Plan de Accion 2018'!#REF!,X302&lt;&gt;¨N/A¨))</xm:f>
            <x14:dxf>
              <fill>
                <patternFill>
                  <bgColor theme="1" tint="0.499984740745262"/>
                </patternFill>
              </fill>
            </x14:dxf>
          </x14:cfRule>
          <x14:cfRule type="expression" priority="6902" stopIfTrue="1" id="{38B6BD0E-1D41-4F39-A10C-3417755DE7C9}">
            <xm:f>AND(IF(X302='F:\Users\norela.briceno\Documents\Plan de acción\Plan Accion 2018\[Plan Accion Integrado ADRES Vigencia 2018 con Cuadro de Mando V6..xlsx]Plan de Accion 2018'!#REF!,X302&lt;&gt;"N/A"))</xm:f>
            <x14:dxf>
              <fill>
                <patternFill>
                  <bgColor rgb="FF00B050"/>
                </patternFill>
              </fill>
            </x14:dxf>
          </x14:cfRule>
          <x14:cfRule type="expression" priority="6903" stopIfTrue="1" id="{C36F5010-811B-44FD-92F7-37C7AE7A1487}">
            <xm:f>AND(IF(X302&lt;'F:\Users\norela.briceno\Documents\Plan de acción\Plan Accion 2018\[Plan Accion Integrado ADRES Vigencia 2018 con Cuadro de Mando V6..xlsx]Plan de Accion 2018'!#REF!,X302&lt;&gt;"N/A"))</xm:f>
            <x14:dxf>
              <fill>
                <patternFill>
                  <bgColor indexed="10"/>
                </patternFill>
              </fill>
            </x14:dxf>
          </x14:cfRule>
          <xm:sqref>X302</xm:sqref>
        </x14:conditionalFormatting>
        <x14:conditionalFormatting xmlns:xm="http://schemas.microsoft.com/office/excel/2006/main">
          <x14:cfRule type="expression" priority="6898" id="{B248DD04-5EE4-44D1-A7EB-C38400C67F60}">
            <xm:f>AND(IF(X303&gt;'F:\Users\norela.briceno\Documents\Plan de acción\Plan Accion 2018\[Plan Accion Integrado ADRES Vigencia 2018 con Cuadro de Mando V6..xlsx]Plan de Accion 2018'!#REF!,X303&lt;&gt;¨N/A¨))</xm:f>
            <x14:dxf>
              <fill>
                <patternFill>
                  <bgColor theme="1" tint="0.499984740745262"/>
                </patternFill>
              </fill>
            </x14:dxf>
          </x14:cfRule>
          <x14:cfRule type="expression" priority="6899" stopIfTrue="1" id="{D212A704-4328-4191-BEF9-3B46EA41EB37}">
            <xm:f>AND(IF(X303='F:\Users\norela.briceno\Documents\Plan de acción\Plan Accion 2018\[Plan Accion Integrado ADRES Vigencia 2018 con Cuadro de Mando V6..xlsx]Plan de Accion 2018'!#REF!,X303&lt;&gt;"N/A"))</xm:f>
            <x14:dxf>
              <fill>
                <patternFill>
                  <bgColor rgb="FF00B050"/>
                </patternFill>
              </fill>
            </x14:dxf>
          </x14:cfRule>
          <x14:cfRule type="expression" priority="6900" stopIfTrue="1" id="{2083045A-F48D-4470-B8FB-68CE71CBC2B2}">
            <xm:f>AND(IF(X303&lt;'F:\Users\norela.briceno\Documents\Plan de acción\Plan Accion 2018\[Plan Accion Integrado ADRES Vigencia 2018 con Cuadro de Mando V6..xlsx]Plan de Accion 2018'!#REF!,X303&lt;&gt;"N/A"))</xm:f>
            <x14:dxf>
              <fill>
                <patternFill>
                  <bgColor indexed="10"/>
                </patternFill>
              </fill>
            </x14:dxf>
          </x14:cfRule>
          <xm:sqref>X303</xm:sqref>
        </x14:conditionalFormatting>
        <x14:conditionalFormatting xmlns:xm="http://schemas.microsoft.com/office/excel/2006/main">
          <x14:cfRule type="expression" priority="6895" id="{3F1D4952-6D83-4187-9CC9-5D37C3DF5E3A}">
            <xm:f>AND(IF(X305&gt;'F:\Users\norela.briceno\Documents\Plan de acción\Plan Accion 2018\[Plan Accion Integrado ADRES Vigencia 2018 con Cuadro de Mando V6..xlsx]Plan de Accion 2018'!#REF!,X305&lt;&gt;¨N/A¨))</xm:f>
            <x14:dxf>
              <fill>
                <patternFill>
                  <bgColor theme="1" tint="0.499984740745262"/>
                </patternFill>
              </fill>
            </x14:dxf>
          </x14:cfRule>
          <x14:cfRule type="expression" priority="6896" stopIfTrue="1" id="{13AD966A-496B-400A-BE1E-E8DC84368E91}">
            <xm:f>AND(IF(X305='F:\Users\norela.briceno\Documents\Plan de acción\Plan Accion 2018\[Plan Accion Integrado ADRES Vigencia 2018 con Cuadro de Mando V6..xlsx]Plan de Accion 2018'!#REF!,X305&lt;&gt;"N/A"))</xm:f>
            <x14:dxf>
              <fill>
                <patternFill>
                  <bgColor rgb="FF00B050"/>
                </patternFill>
              </fill>
            </x14:dxf>
          </x14:cfRule>
          <x14:cfRule type="expression" priority="6897" stopIfTrue="1" id="{82E967AA-0C87-4F00-987A-81AD1F2A9913}">
            <xm:f>AND(IF(X305&lt;'F:\Users\norela.briceno\Documents\Plan de acción\Plan Accion 2018\[Plan Accion Integrado ADRES Vigencia 2018 con Cuadro de Mando V6..xlsx]Plan de Accion 2018'!#REF!,X305&lt;&gt;"N/A"))</xm:f>
            <x14:dxf>
              <fill>
                <patternFill>
                  <bgColor indexed="10"/>
                </patternFill>
              </fill>
            </x14:dxf>
          </x14:cfRule>
          <xm:sqref>X305</xm:sqref>
        </x14:conditionalFormatting>
        <x14:conditionalFormatting xmlns:xm="http://schemas.microsoft.com/office/excel/2006/main">
          <x14:cfRule type="expression" priority="6892" id="{8DC23D2F-BEE7-45F1-81EE-BB06B704556C}">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6893" stopIfTrue="1" id="{3D71F5B6-A90A-40D5-8067-B817CB52C695}">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6894" stopIfTrue="1" id="{0955513B-721B-4559-8403-5E337F082FC2}">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6889" id="{61CD7194-2564-400B-9057-7616294CD2CD}">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6890" stopIfTrue="1" id="{095B12AD-87C8-4EC2-A693-F1A1E1A6BC52}">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6891" stopIfTrue="1" id="{4744AEC1-95E5-4186-91F1-897B2E9A6308}">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6886" id="{6E71DE50-BD7D-45E0-8994-47E46E72E8CE}">
            <xm:f>AND(IF(X309&gt;'F:\Users\norela.briceno\Documents\Plan de acción\Plan Accion 2018\[Plan Accion Integrado ADRES Vigencia 2018 con Cuadro de Mando V6..xlsx]Plan de Accion 2018'!#REF!,X309&lt;&gt;¨N/A¨))</xm:f>
            <x14:dxf>
              <fill>
                <patternFill>
                  <bgColor theme="1" tint="0.499984740745262"/>
                </patternFill>
              </fill>
            </x14:dxf>
          </x14:cfRule>
          <x14:cfRule type="expression" priority="6887" stopIfTrue="1" id="{8A6DFDEA-8F43-4154-80B0-25A3C6957BB6}">
            <xm:f>AND(IF(X309='F:\Users\norela.briceno\Documents\Plan de acción\Plan Accion 2018\[Plan Accion Integrado ADRES Vigencia 2018 con Cuadro de Mando V6..xlsx]Plan de Accion 2018'!#REF!,X309&lt;&gt;"N/A"))</xm:f>
            <x14:dxf>
              <fill>
                <patternFill>
                  <bgColor rgb="FF00B050"/>
                </patternFill>
              </fill>
            </x14:dxf>
          </x14:cfRule>
          <x14:cfRule type="expression" priority="6888" stopIfTrue="1" id="{C97E9B85-CFE3-4BE5-B4EF-11102E0ECE52}">
            <xm:f>AND(IF(X309&lt;'F:\Users\norela.briceno\Documents\Plan de acción\Plan Accion 2018\[Plan Accion Integrado ADRES Vigencia 2018 con Cuadro de Mando V6..xlsx]Plan de Accion 2018'!#REF!,X309&lt;&gt;"N/A"))</xm:f>
            <x14:dxf>
              <fill>
                <patternFill>
                  <bgColor indexed="10"/>
                </patternFill>
              </fill>
            </x14:dxf>
          </x14:cfRule>
          <xm:sqref>X309</xm:sqref>
        </x14:conditionalFormatting>
        <x14:conditionalFormatting xmlns:xm="http://schemas.microsoft.com/office/excel/2006/main">
          <x14:cfRule type="expression" priority="6883" id="{0C039764-8263-4789-8DFC-37A423A970C8}">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6884" stopIfTrue="1" id="{18158B36-1CF4-48DE-AC09-01E20316B329}">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6885" stopIfTrue="1" id="{B3715C8C-A803-476A-97A7-60884E4CE441}">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6880" id="{6177D855-B54F-4F27-BAFC-2EC784E98A32}">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6881" stopIfTrue="1" id="{678B81B7-6D34-4538-8E34-2CF4A9F50604}">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6882" stopIfTrue="1" id="{51DF5788-F1F5-407E-8F52-6CF5A7FBE2BE}">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6871" id="{AB2A33AD-928B-4576-A8A9-D1D77992DDC3}">
            <xm:f>AND(IF(X317&gt;'F:\Users\norela.briceno\Documents\Plan de acción\Plan Accion 2018\[Plan Accion Integrado ADRES Vigencia 2018 con Cuadro de Mando V6..xlsx]Plan de Accion 2018'!#REF!,X317&lt;&gt;¨N/A¨))</xm:f>
            <x14:dxf>
              <fill>
                <patternFill>
                  <bgColor theme="1" tint="0.499984740745262"/>
                </patternFill>
              </fill>
            </x14:dxf>
          </x14:cfRule>
          <x14:cfRule type="expression" priority="6872" stopIfTrue="1" id="{EC33804B-662D-4D3B-9811-259CC76631F5}">
            <xm:f>AND(IF(X317='F:\Users\norela.briceno\Documents\Plan de acción\Plan Accion 2018\[Plan Accion Integrado ADRES Vigencia 2018 con Cuadro de Mando V6..xlsx]Plan de Accion 2018'!#REF!,X317&lt;&gt;"N/A"))</xm:f>
            <x14:dxf>
              <fill>
                <patternFill>
                  <bgColor rgb="FF00B050"/>
                </patternFill>
              </fill>
            </x14:dxf>
          </x14:cfRule>
          <x14:cfRule type="expression" priority="6873" stopIfTrue="1" id="{922FCFF6-43CF-404C-B555-06B7C490CE8F}">
            <xm:f>AND(IF(X317&lt;'F:\Users\norela.briceno\Documents\Plan de acción\Plan Accion 2018\[Plan Accion Integrado ADRES Vigencia 2018 con Cuadro de Mando V6..xlsx]Plan de Accion 2018'!#REF!,X317&lt;&gt;"N/A"))</xm:f>
            <x14:dxf>
              <fill>
                <patternFill>
                  <bgColor indexed="10"/>
                </patternFill>
              </fill>
            </x14:dxf>
          </x14:cfRule>
          <xm:sqref>X317</xm:sqref>
        </x14:conditionalFormatting>
        <x14:conditionalFormatting xmlns:xm="http://schemas.microsoft.com/office/excel/2006/main">
          <x14:cfRule type="expression" priority="6868" id="{1B3C8E23-4F86-480D-BC2A-C455B2DC2EED}">
            <xm:f>AND(IF(X318&gt;'F:\Users\norela.briceno\Documents\Plan de acción\Plan Accion 2018\[Plan Accion Integrado ADRES Vigencia 2018 con Cuadro de Mando V6..xlsx]Plan de Accion 2018'!#REF!,X318&lt;&gt;¨N/A¨))</xm:f>
            <x14:dxf>
              <fill>
                <patternFill>
                  <bgColor theme="1" tint="0.499984740745262"/>
                </patternFill>
              </fill>
            </x14:dxf>
          </x14:cfRule>
          <x14:cfRule type="expression" priority="6869" stopIfTrue="1" id="{A66A9588-1F43-4819-AE92-BAED848344A2}">
            <xm:f>AND(IF(X318='F:\Users\norela.briceno\Documents\Plan de acción\Plan Accion 2018\[Plan Accion Integrado ADRES Vigencia 2018 con Cuadro de Mando V6..xlsx]Plan de Accion 2018'!#REF!,X318&lt;&gt;"N/A"))</xm:f>
            <x14:dxf>
              <fill>
                <patternFill>
                  <bgColor rgb="FF00B050"/>
                </patternFill>
              </fill>
            </x14:dxf>
          </x14:cfRule>
          <x14:cfRule type="expression" priority="6870" stopIfTrue="1" id="{38D1E117-5365-4294-AAEE-9CA29BCE779E}">
            <xm:f>AND(IF(X318&lt;'F:\Users\norela.briceno\Documents\Plan de acción\Plan Accion 2018\[Plan Accion Integrado ADRES Vigencia 2018 con Cuadro de Mando V6..xlsx]Plan de Accion 2018'!#REF!,X318&lt;&gt;"N/A"))</xm:f>
            <x14:dxf>
              <fill>
                <patternFill>
                  <bgColor indexed="10"/>
                </patternFill>
              </fill>
            </x14:dxf>
          </x14:cfRule>
          <xm:sqref>X318</xm:sqref>
        </x14:conditionalFormatting>
        <x14:conditionalFormatting xmlns:xm="http://schemas.microsoft.com/office/excel/2006/main">
          <x14:cfRule type="expression" priority="6856" id="{A817BF57-BD5A-42C5-9BC5-36700D6DC781}">
            <xm:f>AND(IF(X319&gt;'F:\Users\norela.briceno\Documents\Plan de acción\Plan Accion 2018\[Plan Accion Integrado ADRES Vigencia 2018 con Cuadro de Mando V6..xlsx]Plan de Accion 2018'!#REF!,X319&lt;&gt;¨N/A¨))</xm:f>
            <x14:dxf>
              <fill>
                <patternFill>
                  <bgColor theme="1" tint="0.499984740745262"/>
                </patternFill>
              </fill>
            </x14:dxf>
          </x14:cfRule>
          <x14:cfRule type="expression" priority="6857" stopIfTrue="1" id="{16710965-3D8E-4CBC-B13D-5048FDE833FD}">
            <xm:f>AND(IF(X319='F:\Users\norela.briceno\Documents\Plan de acción\Plan Accion 2018\[Plan Accion Integrado ADRES Vigencia 2018 con Cuadro de Mando V6..xlsx]Plan de Accion 2018'!#REF!,X319&lt;&gt;"N/A"))</xm:f>
            <x14:dxf>
              <fill>
                <patternFill>
                  <bgColor rgb="FF00B050"/>
                </patternFill>
              </fill>
            </x14:dxf>
          </x14:cfRule>
          <x14:cfRule type="expression" priority="6858" stopIfTrue="1" id="{B7A89F77-8363-43E2-858B-7F00394B4C69}">
            <xm:f>AND(IF(X319&lt;'F:\Users\norela.briceno\Documents\Plan de acción\Plan Accion 2018\[Plan Accion Integrado ADRES Vigencia 2018 con Cuadro de Mando V6..xlsx]Plan de Accion 2018'!#REF!,X319&lt;&gt;"N/A"))</xm:f>
            <x14:dxf>
              <fill>
                <patternFill>
                  <bgColor indexed="10"/>
                </patternFill>
              </fill>
            </x14:dxf>
          </x14:cfRule>
          <xm:sqref>X319</xm:sqref>
        </x14:conditionalFormatting>
        <x14:conditionalFormatting xmlns:xm="http://schemas.microsoft.com/office/excel/2006/main">
          <x14:cfRule type="expression" priority="6853" id="{812E80E6-24C5-4400-8F86-C10F9BEE39C1}">
            <xm:f>AND(IF(X320&gt;'F:\Users\norela.briceno\Documents\Plan de acción\Plan Accion 2018\[Plan Accion Integrado ADRES Vigencia 2018 con Cuadro de Mando V6..xlsx]Plan de Accion 2018'!#REF!,X320&lt;&gt;¨N/A¨))</xm:f>
            <x14:dxf>
              <fill>
                <patternFill>
                  <bgColor theme="1" tint="0.499984740745262"/>
                </patternFill>
              </fill>
            </x14:dxf>
          </x14:cfRule>
          <x14:cfRule type="expression" priority="6854" stopIfTrue="1" id="{9CE03A97-7DA2-4E66-B215-73C6FA3603E4}">
            <xm:f>AND(IF(X320='F:\Users\norela.briceno\Documents\Plan de acción\Plan Accion 2018\[Plan Accion Integrado ADRES Vigencia 2018 con Cuadro de Mando V6..xlsx]Plan de Accion 2018'!#REF!,X320&lt;&gt;"N/A"))</xm:f>
            <x14:dxf>
              <fill>
                <patternFill>
                  <bgColor rgb="FF00B050"/>
                </patternFill>
              </fill>
            </x14:dxf>
          </x14:cfRule>
          <x14:cfRule type="expression" priority="6855" stopIfTrue="1" id="{2CE497A0-450E-475F-851C-CAAE0670FE4A}">
            <xm:f>AND(IF(X320&lt;'F:\Users\norela.briceno\Documents\Plan de acción\Plan Accion 2018\[Plan Accion Integrado ADRES Vigencia 2018 con Cuadro de Mando V6..xlsx]Plan de Accion 2018'!#REF!,X320&lt;&gt;"N/A"))</xm:f>
            <x14:dxf>
              <fill>
                <patternFill>
                  <bgColor indexed="10"/>
                </patternFill>
              </fill>
            </x14:dxf>
          </x14:cfRule>
          <xm:sqref>X320</xm:sqref>
        </x14:conditionalFormatting>
        <x14:conditionalFormatting xmlns:xm="http://schemas.microsoft.com/office/excel/2006/main">
          <x14:cfRule type="expression" priority="6850" id="{E98D696D-87A9-4FF9-95CC-A2D715739685}">
            <xm:f>AND(IF(X321&gt;'F:\Users\norela.briceno\Documents\Plan de acción\Plan Accion 2018\[Plan Accion Integrado ADRES Vigencia 2018 con Cuadro de Mando V6..xlsx]Plan de Accion 2018'!#REF!,X321&lt;&gt;¨N/A¨))</xm:f>
            <x14:dxf>
              <fill>
                <patternFill>
                  <bgColor theme="1" tint="0.499984740745262"/>
                </patternFill>
              </fill>
            </x14:dxf>
          </x14:cfRule>
          <x14:cfRule type="expression" priority="6851" stopIfTrue="1" id="{EDC31330-6E1D-49E9-AE18-AF07AAB25462}">
            <xm:f>AND(IF(X321='F:\Users\norela.briceno\Documents\Plan de acción\Plan Accion 2018\[Plan Accion Integrado ADRES Vigencia 2018 con Cuadro de Mando V6..xlsx]Plan de Accion 2018'!#REF!,X321&lt;&gt;"N/A"))</xm:f>
            <x14:dxf>
              <fill>
                <patternFill>
                  <bgColor rgb="FF00B050"/>
                </patternFill>
              </fill>
            </x14:dxf>
          </x14:cfRule>
          <x14:cfRule type="expression" priority="6852" stopIfTrue="1" id="{EB211209-EA16-4697-9766-BB40F3292BE3}">
            <xm:f>AND(IF(X321&lt;'F:\Users\norela.briceno\Documents\Plan de acción\Plan Accion 2018\[Plan Accion Integrado ADRES Vigencia 2018 con Cuadro de Mando V6..xlsx]Plan de Accion 2018'!#REF!,X321&lt;&gt;"N/A"))</xm:f>
            <x14:dxf>
              <fill>
                <patternFill>
                  <bgColor indexed="10"/>
                </patternFill>
              </fill>
            </x14:dxf>
          </x14:cfRule>
          <xm:sqref>X321</xm:sqref>
        </x14:conditionalFormatting>
        <x14:conditionalFormatting xmlns:xm="http://schemas.microsoft.com/office/excel/2006/main">
          <x14:cfRule type="expression" priority="6847" id="{0DFFCCB2-C919-4185-9C1B-A2CC9828282D}">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6848" stopIfTrue="1" id="{B10729DF-5FCC-4F81-8D2B-FC801090D498}">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6849" stopIfTrue="1" id="{D39A42B5-872A-4DC6-8E43-FA2CCEBF7867}">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6844" id="{1C1C7FD3-EFBC-47D0-AD6F-18B606125A47}">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6845" stopIfTrue="1" id="{2BD30257-47E2-4F8D-8CEE-CF339D2E30A1}">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6846" stopIfTrue="1" id="{94E647F0-8F5B-4D09-A83A-586ECC67F5E1}">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6841" id="{F70F0F38-FC5D-477E-8956-69BFA79D4DFD}">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6842" stopIfTrue="1" id="{A7853F64-932E-4E6E-B874-65BD744C36D0}">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6843" stopIfTrue="1" id="{66C69939-48E8-4076-936B-F5BD2855232D}">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6838" id="{E5727483-F55D-4F37-88F4-6E3518AC47BC}">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6839" stopIfTrue="1" id="{7C0FF403-E5F0-4504-8066-BEAC4145F5D4}">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6840" stopIfTrue="1" id="{0984980F-0035-4A71-8420-59237E52955F}">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6835" id="{E20B0C65-3E71-4B79-B265-3A0C8BF3970E}">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6836" stopIfTrue="1" id="{0C48D5E8-5CCB-4CBD-8C9D-47EFCCB8AAEA}">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6837" stopIfTrue="1" id="{A995C821-8E23-422E-B493-D8D16B9CD9AC}">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6832" id="{D37E1BD4-01D5-4D94-A807-66DEF2848CBF}">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6833" stopIfTrue="1" id="{2C100F58-EDE7-4B02-88FF-2F62683A3EDF}">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6834" stopIfTrue="1" id="{78745610-F766-42AF-8CE5-A0FAE5104EDC}">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6787" id="{C30D828D-2B61-46A1-A74C-52496A91A752}">
            <xm:f>AND(IF(X346&gt;'F:\Users\norela.briceno\Documents\Plan de acción\Plan Accion 2018\[Plan Accion Integrado ADRES Vigencia 2018 con Cuadro de Mando V6..xlsx]Plan de Accion 2018'!#REF!,X346&lt;&gt;¨N/A¨))</xm:f>
            <x14:dxf>
              <fill>
                <patternFill>
                  <bgColor theme="1" tint="0.499984740745262"/>
                </patternFill>
              </fill>
            </x14:dxf>
          </x14:cfRule>
          <x14:cfRule type="expression" priority="6788" stopIfTrue="1" id="{0BB08879-C7C5-4E08-81F5-ECDE03469316}">
            <xm:f>AND(IF(X346='F:\Users\norela.briceno\Documents\Plan de acción\Plan Accion 2018\[Plan Accion Integrado ADRES Vigencia 2018 con Cuadro de Mando V6..xlsx]Plan de Accion 2018'!#REF!,X346&lt;&gt;"N/A"))</xm:f>
            <x14:dxf>
              <fill>
                <patternFill>
                  <bgColor rgb="FF00B050"/>
                </patternFill>
              </fill>
            </x14:dxf>
          </x14:cfRule>
          <x14:cfRule type="expression" priority="6789" stopIfTrue="1" id="{8454FC45-FD8A-45A2-BD23-3C324C606DE5}">
            <xm:f>AND(IF(X346&lt;'F:\Users\norela.briceno\Documents\Plan de acción\Plan Accion 2018\[Plan Accion Integrado ADRES Vigencia 2018 con Cuadro de Mando V6..xlsx]Plan de Accion 2018'!#REF!,X346&lt;&gt;"N/A"))</xm:f>
            <x14:dxf>
              <fill>
                <patternFill>
                  <bgColor indexed="10"/>
                </patternFill>
              </fill>
            </x14:dxf>
          </x14:cfRule>
          <xm:sqref>X346</xm:sqref>
        </x14:conditionalFormatting>
        <x14:conditionalFormatting xmlns:xm="http://schemas.microsoft.com/office/excel/2006/main">
          <x14:cfRule type="expression" priority="6784" id="{6216847F-BE76-4509-A556-3E11FC4FFDC7}">
            <xm:f>AND(IF(X348&gt;'F:\Users\norela.briceno\Documents\Plan de acción\Plan Accion 2018\[Plan Accion Integrado ADRES Vigencia 2018 con Cuadro de Mando V6..xlsx]Plan de Accion 2018'!#REF!,X348&lt;&gt;¨N/A¨))</xm:f>
            <x14:dxf>
              <fill>
                <patternFill>
                  <bgColor theme="1" tint="0.499984740745262"/>
                </patternFill>
              </fill>
            </x14:dxf>
          </x14:cfRule>
          <x14:cfRule type="expression" priority="6785" stopIfTrue="1" id="{F1761B13-E32C-43DC-BF51-574EC12BC46D}">
            <xm:f>AND(IF(X348='F:\Users\norela.briceno\Documents\Plan de acción\Plan Accion 2018\[Plan Accion Integrado ADRES Vigencia 2018 con Cuadro de Mando V6..xlsx]Plan de Accion 2018'!#REF!,X348&lt;&gt;"N/A"))</xm:f>
            <x14:dxf>
              <fill>
                <patternFill>
                  <bgColor rgb="FF00B050"/>
                </patternFill>
              </fill>
            </x14:dxf>
          </x14:cfRule>
          <x14:cfRule type="expression" priority="6786" stopIfTrue="1" id="{D6F06D70-140B-4FE4-A057-20800A53E1AA}">
            <xm:f>AND(IF(X348&lt;'F:\Users\norela.briceno\Documents\Plan de acción\Plan Accion 2018\[Plan Accion Integrado ADRES Vigencia 2018 con Cuadro de Mando V6..xlsx]Plan de Accion 2018'!#REF!,X348&lt;&gt;"N/A"))</xm:f>
            <x14:dxf>
              <fill>
                <patternFill>
                  <bgColor indexed="10"/>
                </patternFill>
              </fill>
            </x14:dxf>
          </x14:cfRule>
          <xm:sqref>X348</xm:sqref>
        </x14:conditionalFormatting>
        <x14:conditionalFormatting xmlns:xm="http://schemas.microsoft.com/office/excel/2006/main">
          <x14:cfRule type="expression" priority="6763" id="{AAFB95E0-116F-44DD-986D-354C6DBA0B06}">
            <xm:f>AND(IF(X352&gt;'F:\Users\norela.briceno\Documents\Plan de acción\Plan Accion 2018\[Plan Accion Integrado ADRES Vigencia 2018 con Cuadro de Mando V6..xlsx]Plan de Accion 2018'!#REF!,X352&lt;&gt;¨N/A¨))</xm:f>
            <x14:dxf>
              <fill>
                <patternFill>
                  <bgColor theme="1" tint="0.499984740745262"/>
                </patternFill>
              </fill>
            </x14:dxf>
          </x14:cfRule>
          <x14:cfRule type="expression" priority="6764" stopIfTrue="1" id="{A916369B-E651-4DDF-82BF-7B8F0603F60B}">
            <xm:f>AND(IF(X352='F:\Users\norela.briceno\Documents\Plan de acción\Plan Accion 2018\[Plan Accion Integrado ADRES Vigencia 2018 con Cuadro de Mando V6..xlsx]Plan de Accion 2018'!#REF!,X352&lt;&gt;"N/A"))</xm:f>
            <x14:dxf>
              <fill>
                <patternFill>
                  <bgColor rgb="FF00B050"/>
                </patternFill>
              </fill>
            </x14:dxf>
          </x14:cfRule>
          <x14:cfRule type="expression" priority="6765" stopIfTrue="1" id="{6C766714-8A06-4557-8FC4-D430DB6B2A7D}">
            <xm:f>AND(IF(X352&lt;'F:\Users\norela.briceno\Documents\Plan de acción\Plan Accion 2018\[Plan Accion Integrado ADRES Vigencia 2018 con Cuadro de Mando V6..xlsx]Plan de Accion 2018'!#REF!,X352&lt;&gt;"N/A"))</xm:f>
            <x14:dxf>
              <fill>
                <patternFill>
                  <bgColor indexed="10"/>
                </patternFill>
              </fill>
            </x14:dxf>
          </x14:cfRule>
          <xm:sqref>X352</xm:sqref>
        </x14:conditionalFormatting>
        <x14:conditionalFormatting xmlns:xm="http://schemas.microsoft.com/office/excel/2006/main">
          <x14:cfRule type="expression" priority="6760" id="{7146B9F2-1FE5-4D4D-8012-E653B4811D37}">
            <xm:f>AND(IF(X353&gt;'F:\Users\norela.briceno\Documents\Plan de acción\Plan Accion 2018\[Plan Accion Integrado ADRES Vigencia 2018 con Cuadro de Mando V6..xlsx]Plan de Accion 2018'!#REF!,X353&lt;&gt;¨N/A¨))</xm:f>
            <x14:dxf>
              <fill>
                <patternFill>
                  <bgColor theme="1" tint="0.499984740745262"/>
                </patternFill>
              </fill>
            </x14:dxf>
          </x14:cfRule>
          <x14:cfRule type="expression" priority="6761" stopIfTrue="1" id="{FFAD7C9B-CC13-452D-89F7-D9D4D322682E}">
            <xm:f>AND(IF(X353='F:\Users\norela.briceno\Documents\Plan de acción\Plan Accion 2018\[Plan Accion Integrado ADRES Vigencia 2018 con Cuadro de Mando V6..xlsx]Plan de Accion 2018'!#REF!,X353&lt;&gt;"N/A"))</xm:f>
            <x14:dxf>
              <fill>
                <patternFill>
                  <bgColor rgb="FF00B050"/>
                </patternFill>
              </fill>
            </x14:dxf>
          </x14:cfRule>
          <x14:cfRule type="expression" priority="6762" stopIfTrue="1" id="{E61CEBF6-997F-44D4-8AFD-893508ED5A3D}">
            <xm:f>AND(IF(X353&lt;'F:\Users\norela.briceno\Documents\Plan de acción\Plan Accion 2018\[Plan Accion Integrado ADRES Vigencia 2018 con Cuadro de Mando V6..xlsx]Plan de Accion 2018'!#REF!,X353&lt;&gt;"N/A"))</xm:f>
            <x14:dxf>
              <fill>
                <patternFill>
                  <bgColor indexed="10"/>
                </patternFill>
              </fill>
            </x14:dxf>
          </x14:cfRule>
          <xm:sqref>X353</xm:sqref>
        </x14:conditionalFormatting>
        <x14:conditionalFormatting xmlns:xm="http://schemas.microsoft.com/office/excel/2006/main">
          <x14:cfRule type="expression" priority="6757" id="{54A175BC-B34C-42E8-BD7B-63E56952BABE}">
            <xm:f>AND(IF(X354&gt;'F:\Users\norela.briceno\Documents\Plan de acción\Plan Accion 2018\[Plan Accion Integrado ADRES Vigencia 2018 con Cuadro de Mando V6..xlsx]Plan de Accion 2018'!#REF!,X354&lt;&gt;¨N/A¨))</xm:f>
            <x14:dxf>
              <fill>
                <patternFill>
                  <bgColor theme="1" tint="0.499984740745262"/>
                </patternFill>
              </fill>
            </x14:dxf>
          </x14:cfRule>
          <x14:cfRule type="expression" priority="6758" stopIfTrue="1" id="{B07FA84E-BA4C-4BB0-82FD-87D80DA5E57F}">
            <xm:f>AND(IF(X354='F:\Users\norela.briceno\Documents\Plan de acción\Plan Accion 2018\[Plan Accion Integrado ADRES Vigencia 2018 con Cuadro de Mando V6..xlsx]Plan de Accion 2018'!#REF!,X354&lt;&gt;"N/A"))</xm:f>
            <x14:dxf>
              <fill>
                <patternFill>
                  <bgColor rgb="FF00B050"/>
                </patternFill>
              </fill>
            </x14:dxf>
          </x14:cfRule>
          <x14:cfRule type="expression" priority="6759" stopIfTrue="1" id="{AC15B1C5-9053-445F-A979-C8DC5AA30B32}">
            <xm:f>AND(IF(X354&lt;'F:\Users\norela.briceno\Documents\Plan de acción\Plan Accion 2018\[Plan Accion Integrado ADRES Vigencia 2018 con Cuadro de Mando V6..xlsx]Plan de Accion 2018'!#REF!,X354&lt;&gt;"N/A"))</xm:f>
            <x14:dxf>
              <fill>
                <patternFill>
                  <bgColor indexed="10"/>
                </patternFill>
              </fill>
            </x14:dxf>
          </x14:cfRule>
          <xm:sqref>X354</xm:sqref>
        </x14:conditionalFormatting>
        <x14:conditionalFormatting xmlns:xm="http://schemas.microsoft.com/office/excel/2006/main">
          <x14:cfRule type="expression" priority="6754" id="{EF6D873B-D3CB-429C-A710-592333092C24}">
            <xm:f>AND(IF(X355&gt;'F:\Users\norela.briceno\Documents\Plan de acción\Plan Accion 2018\[Plan Accion Integrado ADRES Vigencia 2018 con Cuadro de Mando V6..xlsx]Plan de Accion 2018'!#REF!,X355&lt;&gt;¨N/A¨))</xm:f>
            <x14:dxf>
              <fill>
                <patternFill>
                  <bgColor theme="1" tint="0.499984740745262"/>
                </patternFill>
              </fill>
            </x14:dxf>
          </x14:cfRule>
          <x14:cfRule type="expression" priority="6755" stopIfTrue="1" id="{DCB22A1F-DB7A-4EF5-A39A-4D84E6783267}">
            <xm:f>AND(IF(X355='F:\Users\norela.briceno\Documents\Plan de acción\Plan Accion 2018\[Plan Accion Integrado ADRES Vigencia 2018 con Cuadro de Mando V6..xlsx]Plan de Accion 2018'!#REF!,X355&lt;&gt;"N/A"))</xm:f>
            <x14:dxf>
              <fill>
                <patternFill>
                  <bgColor rgb="FF00B050"/>
                </patternFill>
              </fill>
            </x14:dxf>
          </x14:cfRule>
          <x14:cfRule type="expression" priority="6756" stopIfTrue="1" id="{2004CDDD-30F2-48CE-AB9C-BEC8F7A8EFE5}">
            <xm:f>AND(IF(X355&lt;'F:\Users\norela.briceno\Documents\Plan de acción\Plan Accion 2018\[Plan Accion Integrado ADRES Vigencia 2018 con Cuadro de Mando V6..xlsx]Plan de Accion 2018'!#REF!,X355&lt;&gt;"N/A"))</xm:f>
            <x14:dxf>
              <fill>
                <patternFill>
                  <bgColor indexed="10"/>
                </patternFill>
              </fill>
            </x14:dxf>
          </x14:cfRule>
          <xm:sqref>X355 X357</xm:sqref>
        </x14:conditionalFormatting>
        <x14:conditionalFormatting xmlns:xm="http://schemas.microsoft.com/office/excel/2006/main">
          <x14:cfRule type="expression" priority="6751" id="{B27D13C5-E682-434E-95B8-3EE02E81D0FF}">
            <xm:f>AND(IF(X358&gt;'F:\Users\norela.briceno\Documents\Plan de acción\Plan Accion 2018\[Plan Accion Integrado ADRES Vigencia 2018 con Cuadro de Mando V6..xlsx]Plan de Accion 2018'!#REF!,X358&lt;&gt;¨N/A¨))</xm:f>
            <x14:dxf>
              <fill>
                <patternFill>
                  <bgColor theme="1" tint="0.499984740745262"/>
                </patternFill>
              </fill>
            </x14:dxf>
          </x14:cfRule>
          <x14:cfRule type="expression" priority="6752" stopIfTrue="1" id="{64B50708-3B37-452A-A372-06635CFBBA34}">
            <xm:f>AND(IF(X358='F:\Users\norela.briceno\Documents\Plan de acción\Plan Accion 2018\[Plan Accion Integrado ADRES Vigencia 2018 con Cuadro de Mando V6..xlsx]Plan de Accion 2018'!#REF!,X358&lt;&gt;"N/A"))</xm:f>
            <x14:dxf>
              <fill>
                <patternFill>
                  <bgColor rgb="FF00B050"/>
                </patternFill>
              </fill>
            </x14:dxf>
          </x14:cfRule>
          <x14:cfRule type="expression" priority="6753" stopIfTrue="1" id="{5E52F88F-697F-42C2-BB96-D0F699174790}">
            <xm:f>AND(IF(X358&lt;'F:\Users\norela.briceno\Documents\Plan de acción\Plan Accion 2018\[Plan Accion Integrado ADRES Vigencia 2018 con Cuadro de Mando V6..xlsx]Plan de Accion 2018'!#REF!,X358&lt;&gt;"N/A"))</xm:f>
            <x14:dxf>
              <fill>
                <patternFill>
                  <bgColor indexed="10"/>
                </patternFill>
              </fill>
            </x14:dxf>
          </x14:cfRule>
          <xm:sqref>X358</xm:sqref>
        </x14:conditionalFormatting>
        <x14:conditionalFormatting xmlns:xm="http://schemas.microsoft.com/office/excel/2006/main">
          <x14:cfRule type="expression" priority="6748" id="{75565626-94AD-4B9E-B53A-45775C7FC6E3}">
            <xm:f>AND(IF(X359&gt;'F:\Users\norela.briceno\Documents\Plan de acción\Plan Accion 2018\[Plan Accion Integrado ADRES Vigencia 2018 con Cuadro de Mando V6..xlsx]Plan de Accion 2018'!#REF!,X359&lt;&gt;¨N/A¨))</xm:f>
            <x14:dxf>
              <fill>
                <patternFill>
                  <bgColor theme="1" tint="0.499984740745262"/>
                </patternFill>
              </fill>
            </x14:dxf>
          </x14:cfRule>
          <x14:cfRule type="expression" priority="6749" stopIfTrue="1" id="{BC565C92-C1D9-4B74-9B40-9A5BDD60E87D}">
            <xm:f>AND(IF(X359='F:\Users\norela.briceno\Documents\Plan de acción\Plan Accion 2018\[Plan Accion Integrado ADRES Vigencia 2018 con Cuadro de Mando V6..xlsx]Plan de Accion 2018'!#REF!,X359&lt;&gt;"N/A"))</xm:f>
            <x14:dxf>
              <fill>
                <patternFill>
                  <bgColor rgb="FF00B050"/>
                </patternFill>
              </fill>
            </x14:dxf>
          </x14:cfRule>
          <x14:cfRule type="expression" priority="6750" stopIfTrue="1" id="{DC6B3F33-1DD0-4E22-938F-716CA08C5650}">
            <xm:f>AND(IF(X359&lt;'F:\Users\norela.briceno\Documents\Plan de acción\Plan Accion 2018\[Plan Accion Integrado ADRES Vigencia 2018 con Cuadro de Mando V6..xlsx]Plan de Accion 2018'!#REF!,X359&lt;&gt;"N/A"))</xm:f>
            <x14:dxf>
              <fill>
                <patternFill>
                  <bgColor indexed="10"/>
                </patternFill>
              </fill>
            </x14:dxf>
          </x14:cfRule>
          <xm:sqref>X359</xm:sqref>
        </x14:conditionalFormatting>
        <x14:conditionalFormatting xmlns:xm="http://schemas.microsoft.com/office/excel/2006/main">
          <x14:cfRule type="expression" priority="6745" id="{4204F6AF-11C6-4810-A748-572ABC527053}">
            <xm:f>AND(IF(AE359&gt;'F:\Users\norela.briceno\Documents\Plan de acción\Plan Accion 2018\[Plan Accion Integrado ADRES Vigencia 2018 con Cuadro de Mando V6..xlsx]Plan de Accion 2018'!#REF!,AE359&lt;&gt;¨N/A¨))</xm:f>
            <x14:dxf>
              <fill>
                <patternFill>
                  <bgColor theme="1" tint="0.499984740745262"/>
                </patternFill>
              </fill>
            </x14:dxf>
          </x14:cfRule>
          <x14:cfRule type="expression" priority="6746" stopIfTrue="1" id="{09445627-BB75-46E9-B29F-D053B221D519}">
            <xm:f>AND(IF(AE359='F:\Users\norela.briceno\Documents\Plan de acción\Plan Accion 2018\[Plan Accion Integrado ADRES Vigencia 2018 con Cuadro de Mando V6..xlsx]Plan de Accion 2018'!#REF!,AE359&lt;&gt;"N/A"))</xm:f>
            <x14:dxf>
              <fill>
                <patternFill>
                  <bgColor rgb="FF00B050"/>
                </patternFill>
              </fill>
            </x14:dxf>
          </x14:cfRule>
          <x14:cfRule type="expression" priority="6747" stopIfTrue="1" id="{5F41D5C2-4B49-47C6-8C3B-E4EC9B881A68}">
            <xm:f>AND(IF(AE359&lt;'F:\Users\norela.briceno\Documents\Plan de acción\Plan Accion 2018\[Plan Accion Integrado ADRES Vigencia 2018 con Cuadro de Mando V6..xlsx]Plan de Accion 2018'!#REF!,AE359&lt;&gt;"N/A"))</xm:f>
            <x14:dxf>
              <fill>
                <patternFill>
                  <bgColor indexed="10"/>
                </patternFill>
              </fill>
            </x14:dxf>
          </x14:cfRule>
          <xm:sqref>AE359</xm:sqref>
        </x14:conditionalFormatting>
        <x14:conditionalFormatting xmlns:xm="http://schemas.microsoft.com/office/excel/2006/main">
          <x14:cfRule type="expression" priority="6742" id="{969C9820-6EBB-49C4-81EE-70A1CFF3E668}">
            <xm:f>AND(IF(AE358&gt;'F:\Users\norela.briceno\Documents\Plan de acción\Plan Accion 2018\[Plan Accion Integrado ADRES Vigencia 2018 con Cuadro de Mando V6..xlsx]Plan de Accion 2018'!#REF!,AE358&lt;&gt;¨N/A¨))</xm:f>
            <x14:dxf>
              <fill>
                <patternFill>
                  <bgColor theme="1" tint="0.499984740745262"/>
                </patternFill>
              </fill>
            </x14:dxf>
          </x14:cfRule>
          <x14:cfRule type="expression" priority="6743" stopIfTrue="1" id="{E93ACE42-B7F1-4E8B-B622-5A526ACBEF77}">
            <xm:f>AND(IF(AE358='F:\Users\norela.briceno\Documents\Plan de acción\Plan Accion 2018\[Plan Accion Integrado ADRES Vigencia 2018 con Cuadro de Mando V6..xlsx]Plan de Accion 2018'!#REF!,AE358&lt;&gt;"N/A"))</xm:f>
            <x14:dxf>
              <fill>
                <patternFill>
                  <bgColor rgb="FF00B050"/>
                </patternFill>
              </fill>
            </x14:dxf>
          </x14:cfRule>
          <x14:cfRule type="expression" priority="6744" stopIfTrue="1" id="{70A4501E-2360-4693-8A27-4A6E247CC527}">
            <xm:f>AND(IF(AE358&lt;'F:\Users\norela.briceno\Documents\Plan de acción\Plan Accion 2018\[Plan Accion Integrado ADRES Vigencia 2018 con Cuadro de Mando V6..xlsx]Plan de Accion 2018'!#REF!,AE358&lt;&gt;"N/A"))</xm:f>
            <x14:dxf>
              <fill>
                <patternFill>
                  <bgColor indexed="10"/>
                </patternFill>
              </fill>
            </x14:dxf>
          </x14:cfRule>
          <xm:sqref>AE358</xm:sqref>
        </x14:conditionalFormatting>
        <x14:conditionalFormatting xmlns:xm="http://schemas.microsoft.com/office/excel/2006/main">
          <x14:cfRule type="expression" priority="6739" id="{83CDA44E-8E7B-40DA-98EA-CA04276515AF}">
            <xm:f>AND(IF(AE355&gt;'F:\Users\norela.briceno\Documents\Plan de acción\Plan Accion 2018\[Plan Accion Integrado ADRES Vigencia 2018 con Cuadro de Mando V6..xlsx]Plan de Accion 2018'!#REF!,AE355&lt;&gt;¨N/A¨))</xm:f>
            <x14:dxf>
              <fill>
                <patternFill>
                  <bgColor theme="1" tint="0.499984740745262"/>
                </patternFill>
              </fill>
            </x14:dxf>
          </x14:cfRule>
          <x14:cfRule type="expression" priority="6740" stopIfTrue="1" id="{BE5F60B4-C1E8-4B31-A796-487ADC1C7A89}">
            <xm:f>AND(IF(AE355='F:\Users\norela.briceno\Documents\Plan de acción\Plan Accion 2018\[Plan Accion Integrado ADRES Vigencia 2018 con Cuadro de Mando V6..xlsx]Plan de Accion 2018'!#REF!,AE355&lt;&gt;"N/A"))</xm:f>
            <x14:dxf>
              <fill>
                <patternFill>
                  <bgColor rgb="FF00B050"/>
                </patternFill>
              </fill>
            </x14:dxf>
          </x14:cfRule>
          <x14:cfRule type="expression" priority="6741" stopIfTrue="1" id="{DA6C9805-3E5A-4B9A-A482-2652EC132374}">
            <xm:f>AND(IF(AE355&lt;'F:\Users\norela.briceno\Documents\Plan de acción\Plan Accion 2018\[Plan Accion Integrado ADRES Vigencia 2018 con Cuadro de Mando V6..xlsx]Plan de Accion 2018'!#REF!,AE355&lt;&gt;"N/A"))</xm:f>
            <x14:dxf>
              <fill>
                <patternFill>
                  <bgColor indexed="10"/>
                </patternFill>
              </fill>
            </x14:dxf>
          </x14:cfRule>
          <xm:sqref>AE355 AE357</xm:sqref>
        </x14:conditionalFormatting>
        <x14:conditionalFormatting xmlns:xm="http://schemas.microsoft.com/office/excel/2006/main">
          <x14:cfRule type="expression" priority="6736" id="{D8C3C830-1C64-4C32-B28B-3850BBBE7A7E}">
            <xm:f>AND(IF(AE354&gt;'F:\Users\norela.briceno\Documents\Plan de acción\Plan Accion 2018\[Plan Accion Integrado ADRES Vigencia 2018 con Cuadro de Mando V6..xlsx]Plan de Accion 2018'!#REF!,AE354&lt;&gt;¨N/A¨))</xm:f>
            <x14:dxf>
              <fill>
                <patternFill>
                  <bgColor theme="1" tint="0.499984740745262"/>
                </patternFill>
              </fill>
            </x14:dxf>
          </x14:cfRule>
          <x14:cfRule type="expression" priority="6737" stopIfTrue="1" id="{6314D03C-6E39-4B6E-9971-B7DE405A01DC}">
            <xm:f>AND(IF(AE354='F:\Users\norela.briceno\Documents\Plan de acción\Plan Accion 2018\[Plan Accion Integrado ADRES Vigencia 2018 con Cuadro de Mando V6..xlsx]Plan de Accion 2018'!#REF!,AE354&lt;&gt;"N/A"))</xm:f>
            <x14:dxf>
              <fill>
                <patternFill>
                  <bgColor rgb="FF00B050"/>
                </patternFill>
              </fill>
            </x14:dxf>
          </x14:cfRule>
          <x14:cfRule type="expression" priority="6738" stopIfTrue="1" id="{9E4A89B1-54B1-4B60-A6CA-BB6AC4A3BD87}">
            <xm:f>AND(IF(AE354&lt;'F:\Users\norela.briceno\Documents\Plan de acción\Plan Accion 2018\[Plan Accion Integrado ADRES Vigencia 2018 con Cuadro de Mando V6..xlsx]Plan de Accion 2018'!#REF!,AE354&lt;&gt;"N/A"))</xm:f>
            <x14:dxf>
              <fill>
                <patternFill>
                  <bgColor indexed="10"/>
                </patternFill>
              </fill>
            </x14:dxf>
          </x14:cfRule>
          <xm:sqref>AE354</xm:sqref>
        </x14:conditionalFormatting>
        <x14:conditionalFormatting xmlns:xm="http://schemas.microsoft.com/office/excel/2006/main">
          <x14:cfRule type="expression" priority="6733" id="{2E064F73-1034-4E6F-8C04-8A9466DBB7CF}">
            <xm:f>AND(IF(AE353&gt;'F:\Users\norela.briceno\Documents\Plan de acción\Plan Accion 2018\[Plan Accion Integrado ADRES Vigencia 2018 con Cuadro de Mando V6..xlsx]Plan de Accion 2018'!#REF!,AE353&lt;&gt;¨N/A¨))</xm:f>
            <x14:dxf>
              <fill>
                <patternFill>
                  <bgColor theme="1" tint="0.499984740745262"/>
                </patternFill>
              </fill>
            </x14:dxf>
          </x14:cfRule>
          <x14:cfRule type="expression" priority="6734" stopIfTrue="1" id="{0BAF1DAB-B292-4BD9-BA46-EBAA6BC91164}">
            <xm:f>AND(IF(AE353='F:\Users\norela.briceno\Documents\Plan de acción\Plan Accion 2018\[Plan Accion Integrado ADRES Vigencia 2018 con Cuadro de Mando V6..xlsx]Plan de Accion 2018'!#REF!,AE353&lt;&gt;"N/A"))</xm:f>
            <x14:dxf>
              <fill>
                <patternFill>
                  <bgColor rgb="FF00B050"/>
                </patternFill>
              </fill>
            </x14:dxf>
          </x14:cfRule>
          <x14:cfRule type="expression" priority="6735" stopIfTrue="1" id="{B9C0635F-F6FF-4DAC-886C-A3E619DBC32B}">
            <xm:f>AND(IF(AE353&lt;'F:\Users\norela.briceno\Documents\Plan de acción\Plan Accion 2018\[Plan Accion Integrado ADRES Vigencia 2018 con Cuadro de Mando V6..xlsx]Plan de Accion 2018'!#REF!,AE353&lt;&gt;"N/A"))</xm:f>
            <x14:dxf>
              <fill>
                <patternFill>
                  <bgColor indexed="10"/>
                </patternFill>
              </fill>
            </x14:dxf>
          </x14:cfRule>
          <xm:sqref>AE353</xm:sqref>
        </x14:conditionalFormatting>
        <x14:conditionalFormatting xmlns:xm="http://schemas.microsoft.com/office/excel/2006/main">
          <x14:cfRule type="expression" priority="6730" id="{A528082E-746B-4063-8631-4F8222B13B8C}">
            <xm:f>AND(IF(AE352&gt;'F:\Users\norela.briceno\Documents\Plan de acción\Plan Accion 2018\[Plan Accion Integrado ADRES Vigencia 2018 con Cuadro de Mando V6..xlsx]Plan de Accion 2018'!#REF!,AE352&lt;&gt;¨N/A¨))</xm:f>
            <x14:dxf>
              <fill>
                <patternFill>
                  <bgColor theme="1" tint="0.499984740745262"/>
                </patternFill>
              </fill>
            </x14:dxf>
          </x14:cfRule>
          <x14:cfRule type="expression" priority="6731" stopIfTrue="1" id="{0EE2E455-BA53-4AB9-ACDC-A03492D67409}">
            <xm:f>AND(IF(AE352='F:\Users\norela.briceno\Documents\Plan de acción\Plan Accion 2018\[Plan Accion Integrado ADRES Vigencia 2018 con Cuadro de Mando V6..xlsx]Plan de Accion 2018'!#REF!,AE352&lt;&gt;"N/A"))</xm:f>
            <x14:dxf>
              <fill>
                <patternFill>
                  <bgColor rgb="FF00B050"/>
                </patternFill>
              </fill>
            </x14:dxf>
          </x14:cfRule>
          <x14:cfRule type="expression" priority="6732" stopIfTrue="1" id="{82285A43-1C46-43BE-B524-3533C58606BE}">
            <xm:f>AND(IF(AE352&lt;'F:\Users\norela.briceno\Documents\Plan de acción\Plan Accion 2018\[Plan Accion Integrado ADRES Vigencia 2018 con Cuadro de Mando V6..xlsx]Plan de Accion 2018'!#REF!,AE352&lt;&gt;"N/A"))</xm:f>
            <x14:dxf>
              <fill>
                <patternFill>
                  <bgColor indexed="10"/>
                </patternFill>
              </fill>
            </x14:dxf>
          </x14:cfRule>
          <xm:sqref>AE352</xm:sqref>
        </x14:conditionalFormatting>
        <x14:conditionalFormatting xmlns:xm="http://schemas.microsoft.com/office/excel/2006/main">
          <x14:cfRule type="expression" priority="6709" id="{0C22B0BA-7BFA-45F0-B91C-510BC7CA9BA4}">
            <xm:f>AND(IF(AE348&gt;'F:\Users\norela.briceno\Documents\Plan de acción\Plan Accion 2018\[Plan Accion Integrado ADRES Vigencia 2018 con Cuadro de Mando V6..xlsx]Plan de Accion 2018'!#REF!,AE348&lt;&gt;¨N/A¨))</xm:f>
            <x14:dxf>
              <fill>
                <patternFill>
                  <bgColor theme="1" tint="0.499984740745262"/>
                </patternFill>
              </fill>
            </x14:dxf>
          </x14:cfRule>
          <x14:cfRule type="expression" priority="6710" stopIfTrue="1" id="{6C98027C-1D91-4AB3-81C4-E9DA344BED11}">
            <xm:f>AND(IF(AE348='F:\Users\norela.briceno\Documents\Plan de acción\Plan Accion 2018\[Plan Accion Integrado ADRES Vigencia 2018 con Cuadro de Mando V6..xlsx]Plan de Accion 2018'!#REF!,AE348&lt;&gt;"N/A"))</xm:f>
            <x14:dxf>
              <fill>
                <patternFill>
                  <bgColor rgb="FF00B050"/>
                </patternFill>
              </fill>
            </x14:dxf>
          </x14:cfRule>
          <x14:cfRule type="expression" priority="6711" stopIfTrue="1" id="{2A164961-5CC9-47E5-971B-D4FBAC20EEDF}">
            <xm:f>AND(IF(AE348&lt;'F:\Users\norela.briceno\Documents\Plan de acción\Plan Accion 2018\[Plan Accion Integrado ADRES Vigencia 2018 con Cuadro de Mando V6..xlsx]Plan de Accion 2018'!#REF!,AE348&lt;&gt;"N/A"))</xm:f>
            <x14:dxf>
              <fill>
                <patternFill>
                  <bgColor indexed="10"/>
                </patternFill>
              </fill>
            </x14:dxf>
          </x14:cfRule>
          <xm:sqref>AE348</xm:sqref>
        </x14:conditionalFormatting>
        <x14:conditionalFormatting xmlns:xm="http://schemas.microsoft.com/office/excel/2006/main">
          <x14:cfRule type="expression" priority="6706" id="{DA234CE6-604F-44D9-9DE9-C5967646ECF5}">
            <xm:f>AND(IF(AE346&gt;'F:\Users\norela.briceno\Documents\Plan de acción\Plan Accion 2018\[Plan Accion Integrado ADRES Vigencia 2018 con Cuadro de Mando V6..xlsx]Plan de Accion 2018'!#REF!,AE346&lt;&gt;¨N/A¨))</xm:f>
            <x14:dxf>
              <fill>
                <patternFill>
                  <bgColor theme="1" tint="0.499984740745262"/>
                </patternFill>
              </fill>
            </x14:dxf>
          </x14:cfRule>
          <x14:cfRule type="expression" priority="6707" stopIfTrue="1" id="{0FB09515-B60A-4B19-9B7B-FB13AB59A576}">
            <xm:f>AND(IF(AE346='F:\Users\norela.briceno\Documents\Plan de acción\Plan Accion 2018\[Plan Accion Integrado ADRES Vigencia 2018 con Cuadro de Mando V6..xlsx]Plan de Accion 2018'!#REF!,AE346&lt;&gt;"N/A"))</xm:f>
            <x14:dxf>
              <fill>
                <patternFill>
                  <bgColor rgb="FF00B050"/>
                </patternFill>
              </fill>
            </x14:dxf>
          </x14:cfRule>
          <x14:cfRule type="expression" priority="6708" stopIfTrue="1" id="{7591B0D2-372E-49FF-BF09-18BB2012727F}">
            <xm:f>AND(IF(AE346&lt;'F:\Users\norela.briceno\Documents\Plan de acción\Plan Accion 2018\[Plan Accion Integrado ADRES Vigencia 2018 con Cuadro de Mando V6..xlsx]Plan de Accion 2018'!#REF!,AE346&lt;&gt;"N/A"))</xm:f>
            <x14:dxf>
              <fill>
                <patternFill>
                  <bgColor indexed="10"/>
                </patternFill>
              </fill>
            </x14:dxf>
          </x14:cfRule>
          <xm:sqref>AE346</xm:sqref>
        </x14:conditionalFormatting>
        <x14:conditionalFormatting xmlns:xm="http://schemas.microsoft.com/office/excel/2006/main">
          <x14:cfRule type="expression" priority="6661" id="{626AAE07-CB06-43EC-AF82-4BF3FCED3249}">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6662" stopIfTrue="1" id="{1E022B08-BA84-491D-9304-5C8990634B2F}">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6663" stopIfTrue="1" id="{47CB32AA-403A-4C04-A64B-A9151F08D50D}">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6658" id="{963D16B8-5035-4807-9735-E1478D378BC0}">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6659" stopIfTrue="1" id="{3C3BC837-B608-426A-B1EC-AC0F8A7288B2}">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6660" stopIfTrue="1" id="{D1DD5DD5-E4CB-44F9-A849-C14DF1BE0045}">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6655" id="{D4BBA563-86FD-40E0-858B-F1F535D466BD}">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6656" stopIfTrue="1" id="{04EE8B3C-1103-4BE2-B8E3-FFB484A6F15C}">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6657" stopIfTrue="1" id="{2A2594B5-15A5-4887-A1A2-43C8EA479D07}">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6652" id="{A52FED0A-502D-4D7C-9281-2D4E915F8817}">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6653" stopIfTrue="1" id="{B60C6CC4-8FE2-4876-A413-014559352DEE}">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6654" stopIfTrue="1" id="{B726E35B-84A0-4740-857D-EF5C0C3BF75C}">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6649" id="{CB0EFDC0-C584-4496-BCC2-7B6735AD3657}">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6650" stopIfTrue="1" id="{97E54A70-BC6B-4467-9E4C-33D320E336FC}">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6651" stopIfTrue="1" id="{3F95311B-D37A-46CD-B961-7C103A490135}">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6646" id="{520DAC72-66FD-491D-9BDB-9D31D2531D21}">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6647" stopIfTrue="1" id="{84593A07-F0EA-42B9-9684-1091459B31CF}">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6648" stopIfTrue="1" id="{42128122-F869-432F-B94F-0B396A0F36EF}">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6643" id="{EFC33EAE-E84C-478D-8A2C-555BE6174FC7}">
            <xm:f>AND(IF(AE321&gt;'F:\Users\norela.briceno\Documents\Plan de acción\Plan Accion 2018\[Plan Accion Integrado ADRES Vigencia 2018 con Cuadro de Mando V6..xlsx]Plan de Accion 2018'!#REF!,AE321&lt;&gt;¨N/A¨))</xm:f>
            <x14:dxf>
              <fill>
                <patternFill>
                  <bgColor theme="1" tint="0.499984740745262"/>
                </patternFill>
              </fill>
            </x14:dxf>
          </x14:cfRule>
          <x14:cfRule type="expression" priority="6644" stopIfTrue="1" id="{69E6FB14-D78B-45DA-94EC-1CC33512B363}">
            <xm:f>AND(IF(AE321='F:\Users\norela.briceno\Documents\Plan de acción\Plan Accion 2018\[Plan Accion Integrado ADRES Vigencia 2018 con Cuadro de Mando V6..xlsx]Plan de Accion 2018'!#REF!,AE321&lt;&gt;"N/A"))</xm:f>
            <x14:dxf>
              <fill>
                <patternFill>
                  <bgColor rgb="FF00B050"/>
                </patternFill>
              </fill>
            </x14:dxf>
          </x14:cfRule>
          <x14:cfRule type="expression" priority="6645" stopIfTrue="1" id="{7BA0F772-BF78-489E-A1A5-68C26EDEFCD2}">
            <xm:f>AND(IF(AE321&lt;'F:\Users\norela.briceno\Documents\Plan de acción\Plan Accion 2018\[Plan Accion Integrado ADRES Vigencia 2018 con Cuadro de Mando V6..xlsx]Plan de Accion 2018'!#REF!,AE321&lt;&gt;"N/A"))</xm:f>
            <x14:dxf>
              <fill>
                <patternFill>
                  <bgColor indexed="10"/>
                </patternFill>
              </fill>
            </x14:dxf>
          </x14:cfRule>
          <xm:sqref>AE321</xm:sqref>
        </x14:conditionalFormatting>
        <x14:conditionalFormatting xmlns:xm="http://schemas.microsoft.com/office/excel/2006/main">
          <x14:cfRule type="expression" priority="6640" id="{76D5B2E2-22D2-4403-A67A-BD6D62604301}">
            <xm:f>AND(IF(AE320&gt;'F:\Users\norela.briceno\Documents\Plan de acción\Plan Accion 2018\[Plan Accion Integrado ADRES Vigencia 2018 con Cuadro de Mando V6..xlsx]Plan de Accion 2018'!#REF!,AE320&lt;&gt;¨N/A¨))</xm:f>
            <x14:dxf>
              <fill>
                <patternFill>
                  <bgColor theme="1" tint="0.499984740745262"/>
                </patternFill>
              </fill>
            </x14:dxf>
          </x14:cfRule>
          <x14:cfRule type="expression" priority="6641" stopIfTrue="1" id="{F9A89588-4EB8-44AC-B92E-B4D6F8FF14B0}">
            <xm:f>AND(IF(AE320='F:\Users\norela.briceno\Documents\Plan de acción\Plan Accion 2018\[Plan Accion Integrado ADRES Vigencia 2018 con Cuadro de Mando V6..xlsx]Plan de Accion 2018'!#REF!,AE320&lt;&gt;"N/A"))</xm:f>
            <x14:dxf>
              <fill>
                <patternFill>
                  <bgColor rgb="FF00B050"/>
                </patternFill>
              </fill>
            </x14:dxf>
          </x14:cfRule>
          <x14:cfRule type="expression" priority="6642" stopIfTrue="1" id="{8DD101F1-DAA0-43A5-827E-2953714C3C1A}">
            <xm:f>AND(IF(AE320&lt;'F:\Users\norela.briceno\Documents\Plan de acción\Plan Accion 2018\[Plan Accion Integrado ADRES Vigencia 2018 con Cuadro de Mando V6..xlsx]Plan de Accion 2018'!#REF!,AE320&lt;&gt;"N/A"))</xm:f>
            <x14:dxf>
              <fill>
                <patternFill>
                  <bgColor indexed="10"/>
                </patternFill>
              </fill>
            </x14:dxf>
          </x14:cfRule>
          <xm:sqref>AE320</xm:sqref>
        </x14:conditionalFormatting>
        <x14:conditionalFormatting xmlns:xm="http://schemas.microsoft.com/office/excel/2006/main">
          <x14:cfRule type="expression" priority="6637" id="{DC0B189F-A9E1-4F47-97F2-5019F432700B}">
            <xm:f>AND(IF(AE319&gt;'F:\Users\norela.briceno\Documents\Plan de acción\Plan Accion 2018\[Plan Accion Integrado ADRES Vigencia 2018 con Cuadro de Mando V6..xlsx]Plan de Accion 2018'!#REF!,AE319&lt;&gt;¨N/A¨))</xm:f>
            <x14:dxf>
              <fill>
                <patternFill>
                  <bgColor theme="1" tint="0.499984740745262"/>
                </patternFill>
              </fill>
            </x14:dxf>
          </x14:cfRule>
          <x14:cfRule type="expression" priority="6638" stopIfTrue="1" id="{8066106F-C6D9-4E73-9138-769A7E2F2B8B}">
            <xm:f>AND(IF(AE319='F:\Users\norela.briceno\Documents\Plan de acción\Plan Accion 2018\[Plan Accion Integrado ADRES Vigencia 2018 con Cuadro de Mando V6..xlsx]Plan de Accion 2018'!#REF!,AE319&lt;&gt;"N/A"))</xm:f>
            <x14:dxf>
              <fill>
                <patternFill>
                  <bgColor rgb="FF00B050"/>
                </patternFill>
              </fill>
            </x14:dxf>
          </x14:cfRule>
          <x14:cfRule type="expression" priority="6639" stopIfTrue="1" id="{AEC53E95-91CC-43DB-ACB5-D3C420F0A321}">
            <xm:f>AND(IF(AE319&lt;'F:\Users\norela.briceno\Documents\Plan de acción\Plan Accion 2018\[Plan Accion Integrado ADRES Vigencia 2018 con Cuadro de Mando V6..xlsx]Plan de Accion 2018'!#REF!,AE319&lt;&gt;"N/A"))</xm:f>
            <x14:dxf>
              <fill>
                <patternFill>
                  <bgColor indexed="10"/>
                </patternFill>
              </fill>
            </x14:dxf>
          </x14:cfRule>
          <xm:sqref>AE319</xm:sqref>
        </x14:conditionalFormatting>
        <x14:conditionalFormatting xmlns:xm="http://schemas.microsoft.com/office/excel/2006/main">
          <x14:cfRule type="expression" priority="6625" id="{EF6D0DE9-F2D7-4821-9272-21146AA19537}">
            <xm:f>AND(IF(AE318&gt;'F:\Users\norela.briceno\Documents\Plan de acción\Plan Accion 2018\[Plan Accion Integrado ADRES Vigencia 2018 con Cuadro de Mando V6..xlsx]Plan de Accion 2018'!#REF!,AE318&lt;&gt;¨N/A¨))</xm:f>
            <x14:dxf>
              <fill>
                <patternFill>
                  <bgColor theme="1" tint="0.499984740745262"/>
                </patternFill>
              </fill>
            </x14:dxf>
          </x14:cfRule>
          <x14:cfRule type="expression" priority="6626" stopIfTrue="1" id="{1FDE64DD-FF12-49C8-BA98-6FFD2A9DD818}">
            <xm:f>AND(IF(AE318='F:\Users\norela.briceno\Documents\Plan de acción\Plan Accion 2018\[Plan Accion Integrado ADRES Vigencia 2018 con Cuadro de Mando V6..xlsx]Plan de Accion 2018'!#REF!,AE318&lt;&gt;"N/A"))</xm:f>
            <x14:dxf>
              <fill>
                <patternFill>
                  <bgColor rgb="FF00B050"/>
                </patternFill>
              </fill>
            </x14:dxf>
          </x14:cfRule>
          <x14:cfRule type="expression" priority="6627" stopIfTrue="1" id="{A386E4BA-50BA-4CFB-8427-092CF8F998B7}">
            <xm:f>AND(IF(AE318&lt;'F:\Users\norela.briceno\Documents\Plan de acción\Plan Accion 2018\[Plan Accion Integrado ADRES Vigencia 2018 con Cuadro de Mando V6..xlsx]Plan de Accion 2018'!#REF!,AE318&lt;&gt;"N/A"))</xm:f>
            <x14:dxf>
              <fill>
                <patternFill>
                  <bgColor indexed="10"/>
                </patternFill>
              </fill>
            </x14:dxf>
          </x14:cfRule>
          <xm:sqref>AE318</xm:sqref>
        </x14:conditionalFormatting>
        <x14:conditionalFormatting xmlns:xm="http://schemas.microsoft.com/office/excel/2006/main">
          <x14:cfRule type="expression" priority="6622" id="{27961E7E-D2D5-404D-8CC6-8BD71BB79AE4}">
            <xm:f>AND(IF(AE317&gt;'F:\Users\norela.briceno\Documents\Plan de acción\Plan Accion 2018\[Plan Accion Integrado ADRES Vigencia 2018 con Cuadro de Mando V6..xlsx]Plan de Accion 2018'!#REF!,AE317&lt;&gt;¨N/A¨))</xm:f>
            <x14:dxf>
              <fill>
                <patternFill>
                  <bgColor theme="1" tint="0.499984740745262"/>
                </patternFill>
              </fill>
            </x14:dxf>
          </x14:cfRule>
          <x14:cfRule type="expression" priority="6623" stopIfTrue="1" id="{2EA79C29-E0AD-446E-8CB4-456CBC9DDAC0}">
            <xm:f>AND(IF(AE317='F:\Users\norela.briceno\Documents\Plan de acción\Plan Accion 2018\[Plan Accion Integrado ADRES Vigencia 2018 con Cuadro de Mando V6..xlsx]Plan de Accion 2018'!#REF!,AE317&lt;&gt;"N/A"))</xm:f>
            <x14:dxf>
              <fill>
                <patternFill>
                  <bgColor rgb="FF00B050"/>
                </patternFill>
              </fill>
            </x14:dxf>
          </x14:cfRule>
          <x14:cfRule type="expression" priority="6624" stopIfTrue="1" id="{C605A455-EBC7-4201-ADCF-DF0740E9B1D7}">
            <xm:f>AND(IF(AE317&lt;'F:\Users\norela.briceno\Documents\Plan de acción\Plan Accion 2018\[Plan Accion Integrado ADRES Vigencia 2018 con Cuadro de Mando V6..xlsx]Plan de Accion 2018'!#REF!,AE317&lt;&gt;"N/A"))</xm:f>
            <x14:dxf>
              <fill>
                <patternFill>
                  <bgColor indexed="10"/>
                </patternFill>
              </fill>
            </x14:dxf>
          </x14:cfRule>
          <xm:sqref>AE317</xm:sqref>
        </x14:conditionalFormatting>
        <x14:conditionalFormatting xmlns:xm="http://schemas.microsoft.com/office/excel/2006/main">
          <x14:cfRule type="expression" priority="6613" id="{0E876E9E-605A-473E-88DB-62510B60C1BA}">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6614" stopIfTrue="1" id="{95CC18A7-5AF7-4A90-A0E5-D98220DAC070}">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6615" stopIfTrue="1" id="{3DF96256-273D-4A99-BDE5-E276D458A1B5}">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6610" id="{57453E5B-7009-4E0C-A7E0-540FA281024E}">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6611" stopIfTrue="1" id="{C09C1E91-C67D-494D-A67F-5FC6A3DCF572}">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6612" stopIfTrue="1" id="{04473938-666F-457C-90E7-EC44DB6D6565}">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6607" id="{A76E8C1E-7C24-4A40-A474-D7F88D9E3092}">
            <xm:f>AND(IF(AE309&gt;'F:\Users\norela.briceno\Documents\Plan de acción\Plan Accion 2018\[Plan Accion Integrado ADRES Vigencia 2018 con Cuadro de Mando V6..xlsx]Plan de Accion 2018'!#REF!,AE309&lt;&gt;¨N/A¨))</xm:f>
            <x14:dxf>
              <fill>
                <patternFill>
                  <bgColor theme="1" tint="0.499984740745262"/>
                </patternFill>
              </fill>
            </x14:dxf>
          </x14:cfRule>
          <x14:cfRule type="expression" priority="6608" stopIfTrue="1" id="{5EC4F279-85A0-4694-80BA-70EA9E3300C4}">
            <xm:f>AND(IF(AE309='F:\Users\norela.briceno\Documents\Plan de acción\Plan Accion 2018\[Plan Accion Integrado ADRES Vigencia 2018 con Cuadro de Mando V6..xlsx]Plan de Accion 2018'!#REF!,AE309&lt;&gt;"N/A"))</xm:f>
            <x14:dxf>
              <fill>
                <patternFill>
                  <bgColor rgb="FF00B050"/>
                </patternFill>
              </fill>
            </x14:dxf>
          </x14:cfRule>
          <x14:cfRule type="expression" priority="6609" stopIfTrue="1" id="{E1678F9E-77CA-464F-965E-3F29A84FB46B}">
            <xm:f>AND(IF(AE309&lt;'F:\Users\norela.briceno\Documents\Plan de acción\Plan Accion 2018\[Plan Accion Integrado ADRES Vigencia 2018 con Cuadro de Mando V6..xlsx]Plan de Accion 2018'!#REF!,AE309&lt;&gt;"N/A"))</xm:f>
            <x14:dxf>
              <fill>
                <patternFill>
                  <bgColor indexed="10"/>
                </patternFill>
              </fill>
            </x14:dxf>
          </x14:cfRule>
          <xm:sqref>AE309</xm:sqref>
        </x14:conditionalFormatting>
        <x14:conditionalFormatting xmlns:xm="http://schemas.microsoft.com/office/excel/2006/main">
          <x14:cfRule type="expression" priority="6604" id="{A9EC1B23-32BA-4D26-84B0-0BED98BB2139}">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6605" stopIfTrue="1" id="{2F40A9BA-801A-4999-98FC-369B9FA337B5}">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6606" stopIfTrue="1" id="{D7EC0176-7790-47A2-8F7D-5EF222803F84}">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6601" id="{91CE974F-9B97-4028-A185-7837776309B0}">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6602" stopIfTrue="1" id="{287C9726-049F-455D-97E8-715D2DDC0A5B}">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6603" stopIfTrue="1" id="{F218F980-F77F-493A-8275-AC32C50CA0A5}">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6598" id="{8FAFB3D3-21E8-4C91-9DBA-8064937B575F}">
            <xm:f>AND(IF(AE305&gt;'F:\Users\norela.briceno\Documents\Plan de acción\Plan Accion 2018\[Plan Accion Integrado ADRES Vigencia 2018 con Cuadro de Mando V6..xlsx]Plan de Accion 2018'!#REF!,AE305&lt;&gt;¨N/A¨))</xm:f>
            <x14:dxf>
              <fill>
                <patternFill>
                  <bgColor theme="1" tint="0.499984740745262"/>
                </patternFill>
              </fill>
            </x14:dxf>
          </x14:cfRule>
          <x14:cfRule type="expression" priority="6599" stopIfTrue="1" id="{AE920E4D-374A-4F9E-B529-66FB44CCE722}">
            <xm:f>AND(IF(AE305='F:\Users\norela.briceno\Documents\Plan de acción\Plan Accion 2018\[Plan Accion Integrado ADRES Vigencia 2018 con Cuadro de Mando V6..xlsx]Plan de Accion 2018'!#REF!,AE305&lt;&gt;"N/A"))</xm:f>
            <x14:dxf>
              <fill>
                <patternFill>
                  <bgColor rgb="FF00B050"/>
                </patternFill>
              </fill>
            </x14:dxf>
          </x14:cfRule>
          <x14:cfRule type="expression" priority="6600" stopIfTrue="1" id="{4CC303F4-ECD8-4178-A2B8-317A37F90B90}">
            <xm:f>AND(IF(AE305&lt;'F:\Users\norela.briceno\Documents\Plan de acción\Plan Accion 2018\[Plan Accion Integrado ADRES Vigencia 2018 con Cuadro de Mando V6..xlsx]Plan de Accion 2018'!#REF!,AE305&lt;&gt;"N/A"))</xm:f>
            <x14:dxf>
              <fill>
                <patternFill>
                  <bgColor indexed="10"/>
                </patternFill>
              </fill>
            </x14:dxf>
          </x14:cfRule>
          <xm:sqref>AE305</xm:sqref>
        </x14:conditionalFormatting>
        <x14:conditionalFormatting xmlns:xm="http://schemas.microsoft.com/office/excel/2006/main">
          <x14:cfRule type="expression" priority="6595" id="{09C2ADFB-22E2-49DB-BC6C-AE555D34F05D}">
            <xm:f>AND(IF(AE303&gt;'F:\Users\norela.briceno\Documents\Plan de acción\Plan Accion 2018\[Plan Accion Integrado ADRES Vigencia 2018 con Cuadro de Mando V6..xlsx]Plan de Accion 2018'!#REF!,AE303&lt;&gt;¨N/A¨))</xm:f>
            <x14:dxf>
              <fill>
                <patternFill>
                  <bgColor theme="1" tint="0.499984740745262"/>
                </patternFill>
              </fill>
            </x14:dxf>
          </x14:cfRule>
          <x14:cfRule type="expression" priority="6596" stopIfTrue="1" id="{4C8411B6-CE7D-484A-A72C-A1E94A39835B}">
            <xm:f>AND(IF(AE303='F:\Users\norela.briceno\Documents\Plan de acción\Plan Accion 2018\[Plan Accion Integrado ADRES Vigencia 2018 con Cuadro de Mando V6..xlsx]Plan de Accion 2018'!#REF!,AE303&lt;&gt;"N/A"))</xm:f>
            <x14:dxf>
              <fill>
                <patternFill>
                  <bgColor rgb="FF00B050"/>
                </patternFill>
              </fill>
            </x14:dxf>
          </x14:cfRule>
          <x14:cfRule type="expression" priority="6597" stopIfTrue="1" id="{5018CC45-F89F-4D84-8C4C-943AE96FA55F}">
            <xm:f>AND(IF(AE303&lt;'F:\Users\norela.briceno\Documents\Plan de acción\Plan Accion 2018\[Plan Accion Integrado ADRES Vigencia 2018 con Cuadro de Mando V6..xlsx]Plan de Accion 2018'!#REF!,AE303&lt;&gt;"N/A"))</xm:f>
            <x14:dxf>
              <fill>
                <patternFill>
                  <bgColor indexed="10"/>
                </patternFill>
              </fill>
            </x14:dxf>
          </x14:cfRule>
          <xm:sqref>AE303</xm:sqref>
        </x14:conditionalFormatting>
        <x14:conditionalFormatting xmlns:xm="http://schemas.microsoft.com/office/excel/2006/main">
          <x14:cfRule type="expression" priority="6592" id="{07720643-099B-4FF6-8694-4D979C261F3B}">
            <xm:f>AND(IF(AE302&gt;'F:\Users\norela.briceno\Documents\Plan de acción\Plan Accion 2018\[Plan Accion Integrado ADRES Vigencia 2018 con Cuadro de Mando V6..xlsx]Plan de Accion 2018'!#REF!,AE302&lt;&gt;¨N/A¨))</xm:f>
            <x14:dxf>
              <fill>
                <patternFill>
                  <bgColor theme="1" tint="0.499984740745262"/>
                </patternFill>
              </fill>
            </x14:dxf>
          </x14:cfRule>
          <x14:cfRule type="expression" priority="6593" stopIfTrue="1" id="{17B58746-6670-4EAC-A44B-D6EED0754B22}">
            <xm:f>AND(IF(AE302='F:\Users\norela.briceno\Documents\Plan de acción\Plan Accion 2018\[Plan Accion Integrado ADRES Vigencia 2018 con Cuadro de Mando V6..xlsx]Plan de Accion 2018'!#REF!,AE302&lt;&gt;"N/A"))</xm:f>
            <x14:dxf>
              <fill>
                <patternFill>
                  <bgColor rgb="FF00B050"/>
                </patternFill>
              </fill>
            </x14:dxf>
          </x14:cfRule>
          <x14:cfRule type="expression" priority="6594" stopIfTrue="1" id="{5EC371A8-4971-4C16-9552-8A988D2EB007}">
            <xm:f>AND(IF(AE302&lt;'F:\Users\norela.briceno\Documents\Plan de acción\Plan Accion 2018\[Plan Accion Integrado ADRES Vigencia 2018 con Cuadro de Mando V6..xlsx]Plan de Accion 2018'!#REF!,AE302&lt;&gt;"N/A"))</xm:f>
            <x14:dxf>
              <fill>
                <patternFill>
                  <bgColor indexed="10"/>
                </patternFill>
              </fill>
            </x14:dxf>
          </x14:cfRule>
          <xm:sqref>AE302</xm:sqref>
        </x14:conditionalFormatting>
        <x14:conditionalFormatting xmlns:xm="http://schemas.microsoft.com/office/excel/2006/main">
          <x14:cfRule type="expression" priority="6589" id="{DFDA1C78-DBAA-496A-A02D-CEDFB31BC006}">
            <xm:f>AND(IF(AE301&gt;'F:\Users\norela.briceno\Documents\Plan de acción\Plan Accion 2018\[Plan Accion Integrado ADRES Vigencia 2018 con Cuadro de Mando V6..xlsx]Plan de Accion 2018'!#REF!,AE301&lt;&gt;¨N/A¨))</xm:f>
            <x14:dxf>
              <fill>
                <patternFill>
                  <bgColor theme="1" tint="0.499984740745262"/>
                </patternFill>
              </fill>
            </x14:dxf>
          </x14:cfRule>
          <x14:cfRule type="expression" priority="6590" stopIfTrue="1" id="{CAE3B717-A80C-4658-A496-CC015C0D02CB}">
            <xm:f>AND(IF(AE301='F:\Users\norela.briceno\Documents\Plan de acción\Plan Accion 2018\[Plan Accion Integrado ADRES Vigencia 2018 con Cuadro de Mando V6..xlsx]Plan de Accion 2018'!#REF!,AE301&lt;&gt;"N/A"))</xm:f>
            <x14:dxf>
              <fill>
                <patternFill>
                  <bgColor rgb="FF00B050"/>
                </patternFill>
              </fill>
            </x14:dxf>
          </x14:cfRule>
          <x14:cfRule type="expression" priority="6591" stopIfTrue="1" id="{D662A534-6794-4414-8BB4-847E4E11470E}">
            <xm:f>AND(IF(AE301&lt;'F:\Users\norela.briceno\Documents\Plan de acción\Plan Accion 2018\[Plan Accion Integrado ADRES Vigencia 2018 con Cuadro de Mando V6..xlsx]Plan de Accion 2018'!#REF!,AE301&lt;&gt;"N/A"))</xm:f>
            <x14:dxf>
              <fill>
                <patternFill>
                  <bgColor indexed="10"/>
                </patternFill>
              </fill>
            </x14:dxf>
          </x14:cfRule>
          <xm:sqref>AE301</xm:sqref>
        </x14:conditionalFormatting>
        <x14:conditionalFormatting xmlns:xm="http://schemas.microsoft.com/office/excel/2006/main">
          <x14:cfRule type="expression" priority="6583" id="{DC4F388D-98C9-4C56-AAD0-D2D02864BE76}">
            <xm:f>AND(IF(AE297&gt;'F:\Users\norela.briceno\Documents\Plan de acción\Plan Accion 2018\[Plan Accion Integrado ADRES Vigencia 2018 con Cuadro de Mando V6..xlsx]Plan de Accion 2018'!#REF!,AE297&lt;&gt;¨N/A¨))</xm:f>
            <x14:dxf>
              <fill>
                <patternFill>
                  <bgColor theme="1" tint="0.499984740745262"/>
                </patternFill>
              </fill>
            </x14:dxf>
          </x14:cfRule>
          <x14:cfRule type="expression" priority="6584" stopIfTrue="1" id="{5A940AE0-BF0C-4917-99B8-D0510363A0FF}">
            <xm:f>AND(IF(AE297='F:\Users\norela.briceno\Documents\Plan de acción\Plan Accion 2018\[Plan Accion Integrado ADRES Vigencia 2018 con Cuadro de Mando V6..xlsx]Plan de Accion 2018'!#REF!,AE297&lt;&gt;"N/A"))</xm:f>
            <x14:dxf>
              <fill>
                <patternFill>
                  <bgColor rgb="FF00B050"/>
                </patternFill>
              </fill>
            </x14:dxf>
          </x14:cfRule>
          <x14:cfRule type="expression" priority="6585" stopIfTrue="1" id="{8FDE0A0F-2F18-4BB5-ADFA-FD670070B235}">
            <xm:f>AND(IF(AE297&lt;'F:\Users\norela.briceno\Documents\Plan de acción\Plan Accion 2018\[Plan Accion Integrado ADRES Vigencia 2018 con Cuadro de Mando V6..xlsx]Plan de Accion 2018'!#REF!,AE297&lt;&gt;"N/A"))</xm:f>
            <x14:dxf>
              <fill>
                <patternFill>
                  <bgColor indexed="10"/>
                </patternFill>
              </fill>
            </x14:dxf>
          </x14:cfRule>
          <xm:sqref>AE297</xm:sqref>
        </x14:conditionalFormatting>
        <x14:conditionalFormatting xmlns:xm="http://schemas.microsoft.com/office/excel/2006/main">
          <x14:cfRule type="expression" priority="6580" id="{1740B5C5-9F90-42DB-AAD2-9A764985B544}">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6581" stopIfTrue="1" id="{2EC59945-B7EB-4B28-98B4-2D5ADAED94D2}">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6582" stopIfTrue="1" id="{EFF70493-3E39-4164-98F2-96FB3E9448DB}">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6577" id="{FA9FE018-C915-4292-97F4-55FFB1DE4021}">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6578" stopIfTrue="1" id="{94A6F6B2-1687-496A-9C90-ED61BE78C9C3}">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6579" stopIfTrue="1" id="{DD6C0072-27FD-4B93-8792-E0A706D8DFCF}">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6574" id="{8401464E-B838-4C21-A231-C9BE97E42FA7}">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6575" stopIfTrue="1" id="{CA013279-4108-4B52-BB77-5B558F98F56D}">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6576" stopIfTrue="1" id="{7B3B5FCB-F61D-4FD6-8AA2-ADF26AC730F2}">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6571" id="{31F75AC6-3367-4518-B427-9D01C1E8EFDB}">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6572" stopIfTrue="1" id="{4BABB27F-5BFD-423A-9F98-3BF0B63CCF5C}">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6573" stopIfTrue="1" id="{DB437727-3216-43D5-B17C-D02A65888FF5}">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6568" id="{42E95F42-C894-4C72-9CF5-F61A85D7D510}">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6569" stopIfTrue="1" id="{E1EEBB83-DD77-45F1-B1BF-1A121A36EE9F}">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6570" stopIfTrue="1" id="{BBC2DAF0-E398-4A86-8968-416E97909E30}">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6565" id="{4457E1AC-F74E-479F-A7EF-8B9C32F49426}">
            <xm:f>AND(IF(AE288&gt;'F:\Users\norela.briceno\Documents\Plan de acción\Plan Accion 2018\[Plan Accion Integrado ADRES Vigencia 2018 con Cuadro de Mando V6..xlsx]Plan de Accion 2018'!#REF!,AE288&lt;&gt;¨N/A¨))</xm:f>
            <x14:dxf>
              <fill>
                <patternFill>
                  <bgColor theme="1" tint="0.499984740745262"/>
                </patternFill>
              </fill>
            </x14:dxf>
          </x14:cfRule>
          <x14:cfRule type="expression" priority="6566" stopIfTrue="1" id="{DBF395F6-F36E-4097-87E6-3DCC0E4F6AA7}">
            <xm:f>AND(IF(AE288='F:\Users\norela.briceno\Documents\Plan de acción\Plan Accion 2018\[Plan Accion Integrado ADRES Vigencia 2018 con Cuadro de Mando V6..xlsx]Plan de Accion 2018'!#REF!,AE288&lt;&gt;"N/A"))</xm:f>
            <x14:dxf>
              <fill>
                <patternFill>
                  <bgColor rgb="FF00B050"/>
                </patternFill>
              </fill>
            </x14:dxf>
          </x14:cfRule>
          <x14:cfRule type="expression" priority="6567" stopIfTrue="1" id="{5B272B91-4339-41FA-A447-9D1D8DCC51C2}">
            <xm:f>AND(IF(AE288&lt;'F:\Users\norela.briceno\Documents\Plan de acción\Plan Accion 2018\[Plan Accion Integrado ADRES Vigencia 2018 con Cuadro de Mando V6..xlsx]Plan de Accion 2018'!#REF!,AE288&lt;&gt;"N/A"))</xm:f>
            <x14:dxf>
              <fill>
                <patternFill>
                  <bgColor indexed="10"/>
                </patternFill>
              </fill>
            </x14:dxf>
          </x14:cfRule>
          <xm:sqref>AE288</xm:sqref>
        </x14:conditionalFormatting>
        <x14:conditionalFormatting xmlns:xm="http://schemas.microsoft.com/office/excel/2006/main">
          <x14:cfRule type="expression" priority="6562" id="{F56E2422-C099-4CD6-A9CE-EE1E9A2DC248}">
            <xm:f>AND(IF(AE287&gt;'F:\Users\norela.briceno\Documents\Plan de acción\Plan Accion 2018\[Plan Accion Integrado ADRES Vigencia 2018 con Cuadro de Mando V6..xlsx]Plan de Accion 2018'!#REF!,AE287&lt;&gt;¨N/A¨))</xm:f>
            <x14:dxf>
              <fill>
                <patternFill>
                  <bgColor theme="1" tint="0.499984740745262"/>
                </patternFill>
              </fill>
            </x14:dxf>
          </x14:cfRule>
          <x14:cfRule type="expression" priority="6563" stopIfTrue="1" id="{7038D0B1-95D7-4C3D-AFC3-5EB2A44E3512}">
            <xm:f>AND(IF(AE287='F:\Users\norela.briceno\Documents\Plan de acción\Plan Accion 2018\[Plan Accion Integrado ADRES Vigencia 2018 con Cuadro de Mando V6..xlsx]Plan de Accion 2018'!#REF!,AE287&lt;&gt;"N/A"))</xm:f>
            <x14:dxf>
              <fill>
                <patternFill>
                  <bgColor rgb="FF00B050"/>
                </patternFill>
              </fill>
            </x14:dxf>
          </x14:cfRule>
          <x14:cfRule type="expression" priority="6564" stopIfTrue="1" id="{BB0B57B6-EAFB-4A59-B64E-F7A45F1FBD36}">
            <xm:f>AND(IF(AE287&lt;'F:\Users\norela.briceno\Documents\Plan de acción\Plan Accion 2018\[Plan Accion Integrado ADRES Vigencia 2018 con Cuadro de Mando V6..xlsx]Plan de Accion 2018'!#REF!,AE287&lt;&gt;"N/A"))</xm:f>
            <x14:dxf>
              <fill>
                <patternFill>
                  <bgColor indexed="10"/>
                </patternFill>
              </fill>
            </x14:dxf>
          </x14:cfRule>
          <xm:sqref>AE287</xm:sqref>
        </x14:conditionalFormatting>
        <x14:conditionalFormatting xmlns:xm="http://schemas.microsoft.com/office/excel/2006/main">
          <x14:cfRule type="expression" priority="6559" id="{05AC99D1-A095-4C1E-A976-E1173F5BB00C}">
            <xm:f>AND(IF(AE284&gt;'F:\Users\norela.briceno\Documents\Plan de acción\Plan Accion 2018\[Plan Accion Integrado ADRES Vigencia 2018 con Cuadro de Mando V6..xlsx]Plan de Accion 2018'!#REF!,AE284&lt;&gt;¨N/A¨))</xm:f>
            <x14:dxf>
              <fill>
                <patternFill>
                  <bgColor theme="1" tint="0.499984740745262"/>
                </patternFill>
              </fill>
            </x14:dxf>
          </x14:cfRule>
          <x14:cfRule type="expression" priority="6560" stopIfTrue="1" id="{1CE5408B-0D56-4EDE-BCD9-81952F112522}">
            <xm:f>AND(IF(AE284='F:\Users\norela.briceno\Documents\Plan de acción\Plan Accion 2018\[Plan Accion Integrado ADRES Vigencia 2018 con Cuadro de Mando V6..xlsx]Plan de Accion 2018'!#REF!,AE284&lt;&gt;"N/A"))</xm:f>
            <x14:dxf>
              <fill>
                <patternFill>
                  <bgColor rgb="FF00B050"/>
                </patternFill>
              </fill>
            </x14:dxf>
          </x14:cfRule>
          <x14:cfRule type="expression" priority="6561" stopIfTrue="1" id="{EA0E26B0-54A7-49D3-86CA-0C19E6129362}">
            <xm:f>AND(IF(AE284&lt;'F:\Users\norela.briceno\Documents\Plan de acción\Plan Accion 2018\[Plan Accion Integrado ADRES Vigencia 2018 con Cuadro de Mando V6..xlsx]Plan de Accion 2018'!#REF!,AE284&lt;&gt;"N/A"))</xm:f>
            <x14:dxf>
              <fill>
                <patternFill>
                  <bgColor indexed="10"/>
                </patternFill>
              </fill>
            </x14:dxf>
          </x14:cfRule>
          <xm:sqref>AE284</xm:sqref>
        </x14:conditionalFormatting>
        <x14:conditionalFormatting xmlns:xm="http://schemas.microsoft.com/office/excel/2006/main">
          <x14:cfRule type="expression" priority="6556" id="{BC49D2F4-5D6F-480A-8D0A-29CA9555ACBF}">
            <xm:f>AND(IF(AE277&gt;'F:\Users\norela.briceno\Documents\Plan de acción\Plan Accion 2018\[Plan Accion Integrado ADRES Vigencia 2018 con Cuadro de Mando V6..xlsx]Plan de Accion 2018'!#REF!,AE277&lt;&gt;¨N/A¨))</xm:f>
            <x14:dxf>
              <fill>
                <patternFill>
                  <bgColor theme="1" tint="0.499984740745262"/>
                </patternFill>
              </fill>
            </x14:dxf>
          </x14:cfRule>
          <x14:cfRule type="expression" priority="6557" stopIfTrue="1" id="{41E870BC-AD4A-489D-8C0E-667D58A4200C}">
            <xm:f>AND(IF(AE277='F:\Users\norela.briceno\Documents\Plan de acción\Plan Accion 2018\[Plan Accion Integrado ADRES Vigencia 2018 con Cuadro de Mando V6..xlsx]Plan de Accion 2018'!#REF!,AE277&lt;&gt;"N/A"))</xm:f>
            <x14:dxf>
              <fill>
                <patternFill>
                  <bgColor rgb="FF00B050"/>
                </patternFill>
              </fill>
            </x14:dxf>
          </x14:cfRule>
          <x14:cfRule type="expression" priority="6558" stopIfTrue="1" id="{7454B5D8-3F7E-43E7-B1A5-771CA9D3E280}">
            <xm:f>AND(IF(AE277&lt;'F:\Users\norela.briceno\Documents\Plan de acción\Plan Accion 2018\[Plan Accion Integrado ADRES Vigencia 2018 con Cuadro de Mando V6..xlsx]Plan de Accion 2018'!#REF!,AE277&lt;&gt;"N/A"))</xm:f>
            <x14:dxf>
              <fill>
                <patternFill>
                  <bgColor indexed="10"/>
                </patternFill>
              </fill>
            </x14:dxf>
          </x14:cfRule>
          <xm:sqref>AE277</xm:sqref>
        </x14:conditionalFormatting>
        <x14:conditionalFormatting xmlns:xm="http://schemas.microsoft.com/office/excel/2006/main">
          <x14:cfRule type="expression" priority="6553" id="{BBB6AECA-4271-44FA-AFF6-0A914C6AA4C8}">
            <xm:f>AND(IF(AE276&gt;'F:\Users\norela.briceno\Documents\Plan de acción\Plan Accion 2018\[Plan Accion Integrado ADRES Vigencia 2018 con Cuadro de Mando V6..xlsx]Plan de Accion 2018'!#REF!,AE276&lt;&gt;¨N/A¨))</xm:f>
            <x14:dxf>
              <fill>
                <patternFill>
                  <bgColor theme="1" tint="0.499984740745262"/>
                </patternFill>
              </fill>
            </x14:dxf>
          </x14:cfRule>
          <x14:cfRule type="expression" priority="6554" stopIfTrue="1" id="{86271A0F-CCAA-49E4-9034-1B2A242D6B07}">
            <xm:f>AND(IF(AE276='F:\Users\norela.briceno\Documents\Plan de acción\Plan Accion 2018\[Plan Accion Integrado ADRES Vigencia 2018 con Cuadro de Mando V6..xlsx]Plan de Accion 2018'!#REF!,AE276&lt;&gt;"N/A"))</xm:f>
            <x14:dxf>
              <fill>
                <patternFill>
                  <bgColor rgb="FF00B050"/>
                </patternFill>
              </fill>
            </x14:dxf>
          </x14:cfRule>
          <x14:cfRule type="expression" priority="6555" stopIfTrue="1" id="{8E518EE7-2652-46F5-8A39-46E9BDCBF599}">
            <xm:f>AND(IF(AE276&lt;'F:\Users\norela.briceno\Documents\Plan de acción\Plan Accion 2018\[Plan Accion Integrado ADRES Vigencia 2018 con Cuadro de Mando V6..xlsx]Plan de Accion 2018'!#REF!,AE276&lt;&gt;"N/A"))</xm:f>
            <x14:dxf>
              <fill>
                <patternFill>
                  <bgColor indexed="10"/>
                </patternFill>
              </fill>
            </x14:dxf>
          </x14:cfRule>
          <xm:sqref>AE276</xm:sqref>
        </x14:conditionalFormatting>
        <x14:conditionalFormatting xmlns:xm="http://schemas.microsoft.com/office/excel/2006/main">
          <x14:cfRule type="expression" priority="6550" id="{9E2D4E4F-B718-42CC-9D50-D13AEFD2DCD0}">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6551" stopIfTrue="1" id="{3C46F653-A01B-4E2A-A840-8147AFF49C8A}">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6552" stopIfTrue="1" id="{C2AB9964-EB24-40A6-9E36-9CCE2CDAB924}">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6547" id="{5D410DC7-2499-498D-AF4C-28D2C801D5B7}">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6548" stopIfTrue="1" id="{4120FE5E-E26A-4363-9669-43D25D2E588D}">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6549" stopIfTrue="1" id="{D440F070-B398-452B-8C2F-F0B4021F6AD2}">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6544" id="{45AA729E-DF22-4843-963A-386C7A8B80C3}">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6545" stopIfTrue="1" id="{5B4E026F-FF28-4E02-A38F-46A7E5FAC68F}">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6546" stopIfTrue="1" id="{6FB16ED5-B027-42BA-A4C5-0145495BFD43}">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6541" id="{4DBADC6D-4362-40C6-ABE2-B744343A4CCA}">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6542" stopIfTrue="1" id="{37911CE6-D5FB-4118-AEAE-C0439ADADA70}">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6543" stopIfTrue="1" id="{417761B7-1A95-4E40-8227-ECC6021B9C46}">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6538" id="{FA12B589-978C-4FFD-92CF-DC7EBA705D5F}">
            <xm:f>AND(IF(AE271&gt;'F:\Users\norela.briceno\Documents\Plan de acción\Plan Accion 2018\[Plan Accion Integrado ADRES Vigencia 2018 con Cuadro de Mando V6..xlsx]Plan de Accion 2018'!#REF!,AE271&lt;&gt;¨N/A¨))</xm:f>
            <x14:dxf>
              <fill>
                <patternFill>
                  <bgColor theme="1" tint="0.499984740745262"/>
                </patternFill>
              </fill>
            </x14:dxf>
          </x14:cfRule>
          <x14:cfRule type="expression" priority="6539" stopIfTrue="1" id="{4C5E561A-786A-49C0-8EA7-6ABBED79DD21}">
            <xm:f>AND(IF(AE271='F:\Users\norela.briceno\Documents\Plan de acción\Plan Accion 2018\[Plan Accion Integrado ADRES Vigencia 2018 con Cuadro de Mando V6..xlsx]Plan de Accion 2018'!#REF!,AE271&lt;&gt;"N/A"))</xm:f>
            <x14:dxf>
              <fill>
                <patternFill>
                  <bgColor rgb="FF00B050"/>
                </patternFill>
              </fill>
            </x14:dxf>
          </x14:cfRule>
          <x14:cfRule type="expression" priority="6540" stopIfTrue="1" id="{401C5FB4-D04F-460F-B451-35AE9852EC63}">
            <xm:f>AND(IF(AE271&lt;'F:\Users\norela.briceno\Documents\Plan de acción\Plan Accion 2018\[Plan Accion Integrado ADRES Vigencia 2018 con Cuadro de Mando V6..xlsx]Plan de Accion 2018'!#REF!,AE271&lt;&gt;"N/A"))</xm:f>
            <x14:dxf>
              <fill>
                <patternFill>
                  <bgColor indexed="10"/>
                </patternFill>
              </fill>
            </x14:dxf>
          </x14:cfRule>
          <xm:sqref>AE271</xm:sqref>
        </x14:conditionalFormatting>
        <x14:conditionalFormatting xmlns:xm="http://schemas.microsoft.com/office/excel/2006/main">
          <x14:cfRule type="expression" priority="6535" id="{FED0B0AB-125B-40E0-A624-FDD1892022D8}">
            <xm:f>AND(IF(AE270&gt;'F:\Users\norela.briceno\Documents\Plan de acción\Plan Accion 2018\[Plan Accion Integrado ADRES Vigencia 2018 con Cuadro de Mando V6..xlsx]Plan de Accion 2018'!#REF!,AE270&lt;&gt;¨N/A¨))</xm:f>
            <x14:dxf>
              <fill>
                <patternFill>
                  <bgColor theme="1" tint="0.499984740745262"/>
                </patternFill>
              </fill>
            </x14:dxf>
          </x14:cfRule>
          <x14:cfRule type="expression" priority="6536" stopIfTrue="1" id="{466A001C-EC1A-4572-BA83-3AACCEE3FE60}">
            <xm:f>AND(IF(AE270='F:\Users\norela.briceno\Documents\Plan de acción\Plan Accion 2018\[Plan Accion Integrado ADRES Vigencia 2018 con Cuadro de Mando V6..xlsx]Plan de Accion 2018'!#REF!,AE270&lt;&gt;"N/A"))</xm:f>
            <x14:dxf>
              <fill>
                <patternFill>
                  <bgColor rgb="FF00B050"/>
                </patternFill>
              </fill>
            </x14:dxf>
          </x14:cfRule>
          <x14:cfRule type="expression" priority="6537" stopIfTrue="1" id="{F648779D-FD28-4305-8BE0-1EB418A5031E}">
            <xm:f>AND(IF(AE270&lt;'F:\Users\norela.briceno\Documents\Plan de acción\Plan Accion 2018\[Plan Accion Integrado ADRES Vigencia 2018 con Cuadro de Mando V6..xlsx]Plan de Accion 2018'!#REF!,AE270&lt;&gt;"N/A"))</xm:f>
            <x14:dxf>
              <fill>
                <patternFill>
                  <bgColor indexed="10"/>
                </patternFill>
              </fill>
            </x14:dxf>
          </x14:cfRule>
          <xm:sqref>AE270</xm:sqref>
        </x14:conditionalFormatting>
        <x14:conditionalFormatting xmlns:xm="http://schemas.microsoft.com/office/excel/2006/main">
          <x14:cfRule type="expression" priority="6532" id="{3C3FB487-065B-4A5B-BB7E-BBADEEB778C1}">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6533" stopIfTrue="1" id="{4AFC5DED-B564-4D7A-9561-6811EFAA303D}">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6534" stopIfTrue="1" id="{963F346B-FDE8-4F08-B3C5-032B4B8347FE}">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6529" id="{3C4A4790-8545-4612-BA83-A496DAD3B3C4}">
            <xm:f>AND(IF(AE268&gt;'F:\Users\norela.briceno\Documents\Plan de acción\Plan Accion 2018\[Plan Accion Integrado ADRES Vigencia 2018 con Cuadro de Mando V6..xlsx]Plan de Accion 2018'!#REF!,AE268&lt;&gt;¨N/A¨))</xm:f>
            <x14:dxf>
              <fill>
                <patternFill>
                  <bgColor theme="1" tint="0.499984740745262"/>
                </patternFill>
              </fill>
            </x14:dxf>
          </x14:cfRule>
          <x14:cfRule type="expression" priority="6530" stopIfTrue="1" id="{A671419C-E632-44E6-AC5C-122E4B5691E8}">
            <xm:f>AND(IF(AE268='F:\Users\norela.briceno\Documents\Plan de acción\Plan Accion 2018\[Plan Accion Integrado ADRES Vigencia 2018 con Cuadro de Mando V6..xlsx]Plan de Accion 2018'!#REF!,AE268&lt;&gt;"N/A"))</xm:f>
            <x14:dxf>
              <fill>
                <patternFill>
                  <bgColor rgb="FF00B050"/>
                </patternFill>
              </fill>
            </x14:dxf>
          </x14:cfRule>
          <x14:cfRule type="expression" priority="6531" stopIfTrue="1" id="{304072BF-121F-4F97-92C7-6322C3152EC2}">
            <xm:f>AND(IF(AE268&lt;'F:\Users\norela.briceno\Documents\Plan de acción\Plan Accion 2018\[Plan Accion Integrado ADRES Vigencia 2018 con Cuadro de Mando V6..xlsx]Plan de Accion 2018'!#REF!,AE268&lt;&gt;"N/A"))</xm:f>
            <x14:dxf>
              <fill>
                <patternFill>
                  <bgColor indexed="10"/>
                </patternFill>
              </fill>
            </x14:dxf>
          </x14:cfRule>
          <xm:sqref>AE268</xm:sqref>
        </x14:conditionalFormatting>
        <x14:conditionalFormatting xmlns:xm="http://schemas.microsoft.com/office/excel/2006/main">
          <x14:cfRule type="expression" priority="6526" id="{FBB68EBE-E64C-44E5-B561-D41678B95015}">
            <xm:f>AND(IF(AE267&gt;'F:\Users\norela.briceno\Documents\Plan de acción\Plan Accion 2018\[Plan Accion Integrado ADRES Vigencia 2018 con Cuadro de Mando V6..xlsx]Plan de Accion 2018'!#REF!,AE267&lt;&gt;¨N/A¨))</xm:f>
            <x14:dxf>
              <fill>
                <patternFill>
                  <bgColor theme="1" tint="0.499984740745262"/>
                </patternFill>
              </fill>
            </x14:dxf>
          </x14:cfRule>
          <x14:cfRule type="expression" priority="6527" stopIfTrue="1" id="{238700FA-4FD7-4F84-BD7D-C364FDE73DD8}">
            <xm:f>AND(IF(AE267='F:\Users\norela.briceno\Documents\Plan de acción\Plan Accion 2018\[Plan Accion Integrado ADRES Vigencia 2018 con Cuadro de Mando V6..xlsx]Plan de Accion 2018'!#REF!,AE267&lt;&gt;"N/A"))</xm:f>
            <x14:dxf>
              <fill>
                <patternFill>
                  <bgColor rgb="FF00B050"/>
                </patternFill>
              </fill>
            </x14:dxf>
          </x14:cfRule>
          <x14:cfRule type="expression" priority="6528" stopIfTrue="1" id="{5FEA3D9A-308B-4205-A299-C9A296B49E05}">
            <xm:f>AND(IF(AE267&lt;'F:\Users\norela.briceno\Documents\Plan de acción\Plan Accion 2018\[Plan Accion Integrado ADRES Vigencia 2018 con Cuadro de Mando V6..xlsx]Plan de Accion 2018'!#REF!,AE267&lt;&gt;"N/A"))</xm:f>
            <x14:dxf>
              <fill>
                <patternFill>
                  <bgColor indexed="10"/>
                </patternFill>
              </fill>
            </x14:dxf>
          </x14:cfRule>
          <xm:sqref>AE267</xm:sqref>
        </x14:conditionalFormatting>
        <x14:conditionalFormatting xmlns:xm="http://schemas.microsoft.com/office/excel/2006/main">
          <x14:cfRule type="expression" priority="6523" id="{6EF972A0-5F0A-452B-B1C2-ACAF5CBD36BA}">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6524" stopIfTrue="1" id="{944534D5-4040-4284-BECA-0473C1CF0300}">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6525" stopIfTrue="1" id="{2285FA45-5B37-466A-92B9-E6964432F059}">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6481" id="{7755B08B-E5EE-43A0-AD16-6A8D345271BC}">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6482" stopIfTrue="1" id="{F4962D14-BB39-454F-83C9-8A2F45EB7131}">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6483" stopIfTrue="1" id="{5847BCF9-4538-4549-BCCC-5379914565B3}">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6517" id="{89E45651-21EF-45E0-AE81-39CB6B30C886}">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6518" stopIfTrue="1" id="{FF3CB142-1CAB-4F94-BA77-07FCD87CB445}">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6519" stopIfTrue="1" id="{10E0EB51-F132-4893-BBCC-83D2A482ACDB}">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6514" id="{B6DF4A78-D332-4AC0-9BC5-87F948D25F34}">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6515" stopIfTrue="1" id="{66494202-FE49-479A-88BE-8BF471848B7B}">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6516" stopIfTrue="1" id="{7F0AAA63-1BA0-476B-B3E7-962E8488B5B1}">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6511" id="{CDF46899-A5CB-4DAA-8756-34645A71604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6512" stopIfTrue="1" id="{4DB3C4D3-6E8B-432F-8220-AF76295C70EF}">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6513" stopIfTrue="1" id="{56E2CCF9-6A34-4654-BCEB-4D52FFCF8F5F}">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6508" id="{F9AECB66-C646-4138-8242-878A1D7BC661}">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6509" stopIfTrue="1" id="{C2A6A467-B74A-4468-8654-370CEF1495D3}">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6510" stopIfTrue="1" id="{FDAC4401-28AD-4E3E-8D4C-77E4073EF4A9}">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6505" id="{CEA38792-973E-4C19-A9DE-17D7F7C6F6B5}">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6506" stopIfTrue="1" id="{05192EC0-EF58-4EA5-8484-E02C2D22FD48}">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6507" stopIfTrue="1" id="{93B45478-FE21-4C1C-A438-67CD4DBA6013}">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6502" id="{D5FA3996-9EA7-47B8-B496-45C0D97CBB0A}">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6503" stopIfTrue="1" id="{273EE5C0-6653-48B6-B333-A31339C8544E}">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6504" stopIfTrue="1" id="{88BA4C8C-DC28-4FAB-9422-1DFFA5C101F5}">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6499" id="{E83CF4FB-7795-4664-94A0-FBD7E8783C04}">
            <xm:f>AND(IF(AE257&gt;'F:\Users\norela.briceno\Documents\Plan de acción\Plan Accion 2018\[Plan Accion Integrado ADRES Vigencia 2018 con Cuadro de Mando V6..xlsx]Plan de Accion 2018'!#REF!,AE257&lt;&gt;¨N/A¨))</xm:f>
            <x14:dxf>
              <fill>
                <patternFill>
                  <bgColor theme="1" tint="0.499984740745262"/>
                </patternFill>
              </fill>
            </x14:dxf>
          </x14:cfRule>
          <x14:cfRule type="expression" priority="6500" stopIfTrue="1" id="{B79319A3-FC71-4174-85DF-73571E5BDB6C}">
            <xm:f>AND(IF(AE257='F:\Users\norela.briceno\Documents\Plan de acción\Plan Accion 2018\[Plan Accion Integrado ADRES Vigencia 2018 con Cuadro de Mando V6..xlsx]Plan de Accion 2018'!#REF!,AE257&lt;&gt;"N/A"))</xm:f>
            <x14:dxf>
              <fill>
                <patternFill>
                  <bgColor rgb="FF00B050"/>
                </patternFill>
              </fill>
            </x14:dxf>
          </x14:cfRule>
          <x14:cfRule type="expression" priority="6501" stopIfTrue="1" id="{42E89E8B-7FA2-4DBE-8D82-26B2FD8F5D4A}">
            <xm:f>AND(IF(AE257&lt;'F:\Users\norela.briceno\Documents\Plan de acción\Plan Accion 2018\[Plan Accion Integrado ADRES Vigencia 2018 con Cuadro de Mando V6..xlsx]Plan de Accion 2018'!#REF!,AE257&lt;&gt;"N/A"))</xm:f>
            <x14:dxf>
              <fill>
                <patternFill>
                  <bgColor indexed="10"/>
                </patternFill>
              </fill>
            </x14:dxf>
          </x14:cfRule>
          <xm:sqref>AE257</xm:sqref>
        </x14:conditionalFormatting>
        <x14:conditionalFormatting xmlns:xm="http://schemas.microsoft.com/office/excel/2006/main">
          <x14:cfRule type="expression" priority="6496" id="{4560FE77-623F-484C-9D87-B791618579B0}">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6497" stopIfTrue="1" id="{9A5CDBD2-8807-49EE-9316-5DD3F69AB74C}">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6498" stopIfTrue="1" id="{27A9D06A-D187-4C48-BDB2-6A3F2CADBD75}">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6493" id="{207D2BA8-853D-471F-97A8-42005B1916D8}">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6494" stopIfTrue="1" id="{B95EF6C6-AB34-4E71-B866-A5F76D88AFA8}">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6495" stopIfTrue="1" id="{56892E97-DAED-421D-ADDA-D0843B504E8C}">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6490" id="{6E297D7D-AF77-420E-99D0-ACB9CF2363B6}">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6491" stopIfTrue="1" id="{8271F085-3B8B-4CAC-8270-69B56C6BB7B7}">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6492" stopIfTrue="1" id="{F0BDD80B-ADCD-4B6F-A82F-811D0F2037A7}">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6487" id="{CF5FE116-DDA8-456C-A0D9-38FBD056D933}">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6488" stopIfTrue="1" id="{37F8B177-95C7-41F7-94B7-AB3F2A8B8FEA}">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6489" stopIfTrue="1" id="{8DB44372-2C6B-446C-920E-109E41A23F3E}">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6484" id="{6726961C-EF11-46D4-A55E-E9146480BC11}">
            <xm:f>AND(IF(AE251&gt;'F:\Users\norela.briceno\Documents\Plan de acción\Plan Accion 2018\[Plan Accion Integrado ADRES Vigencia 2018 con Cuadro de Mando V6..xlsx]Plan de Accion 2018'!#REF!,AE251&lt;&gt;¨N/A¨))</xm:f>
            <x14:dxf>
              <fill>
                <patternFill>
                  <bgColor theme="1" tint="0.499984740745262"/>
                </patternFill>
              </fill>
            </x14:dxf>
          </x14:cfRule>
          <x14:cfRule type="expression" priority="6485" stopIfTrue="1" id="{10BE95E2-2EA9-4141-A538-C272910DDDC3}">
            <xm:f>AND(IF(AE251='F:\Users\norela.briceno\Documents\Plan de acción\Plan Accion 2018\[Plan Accion Integrado ADRES Vigencia 2018 con Cuadro de Mando V6..xlsx]Plan de Accion 2018'!#REF!,AE251&lt;&gt;"N/A"))</xm:f>
            <x14:dxf>
              <fill>
                <patternFill>
                  <bgColor rgb="FF00B050"/>
                </patternFill>
              </fill>
            </x14:dxf>
          </x14:cfRule>
          <x14:cfRule type="expression" priority="6486" stopIfTrue="1" id="{B165C795-CEAE-4017-9F47-4DF4781B7284}">
            <xm:f>AND(IF(AE251&lt;'F:\Users\norela.briceno\Documents\Plan de acción\Plan Accion 2018\[Plan Accion Integrado ADRES Vigencia 2018 con Cuadro de Mando V6..xlsx]Plan de Accion 2018'!#REF!,AE251&lt;&gt;"N/A"))</xm:f>
            <x14:dxf>
              <fill>
                <patternFill>
                  <bgColor indexed="10"/>
                </patternFill>
              </fill>
            </x14:dxf>
          </x14:cfRule>
          <xm:sqref>AE251</xm:sqref>
        </x14:conditionalFormatting>
        <x14:conditionalFormatting xmlns:xm="http://schemas.microsoft.com/office/excel/2006/main">
          <x14:cfRule type="expression" priority="6478" id="{217E64F8-B037-4D15-AE4C-1B03887FD515}">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6479" stopIfTrue="1" id="{64A72658-D323-4E96-998E-0E9FD7A0FCF8}">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6480" stopIfTrue="1" id="{181BD79A-872A-490A-B2B3-CABF79B44264}">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6475" id="{7FF33C8E-D19F-4585-96EB-4550FD8AB3E3}">
            <xm:f>AND(IF(AE357&gt;'F:\Users\norela.briceno\Documents\Plan de acción\Plan Accion 2018\[Plan Accion Integrado ADRES Vigencia 2018 con Cuadro de Mando V6..xlsx]Plan de Accion 2018'!#REF!,AE357&lt;&gt;¨N/A¨))</xm:f>
            <x14:dxf>
              <fill>
                <patternFill>
                  <bgColor theme="1" tint="0.499984740745262"/>
                </patternFill>
              </fill>
            </x14:dxf>
          </x14:cfRule>
          <x14:cfRule type="expression" priority="6476" stopIfTrue="1" id="{A82C20F8-4218-418A-8B6C-4F613D21C380}">
            <xm:f>AND(IF(AE357='F:\Users\norela.briceno\Documents\Plan de acción\Plan Accion 2018\[Plan Accion Integrado ADRES Vigencia 2018 con Cuadro de Mando V6..xlsx]Plan de Accion 2018'!#REF!,AE357&lt;&gt;"N/A"))</xm:f>
            <x14:dxf>
              <fill>
                <patternFill>
                  <bgColor rgb="FF00B050"/>
                </patternFill>
              </fill>
            </x14:dxf>
          </x14:cfRule>
          <x14:cfRule type="expression" priority="6477" stopIfTrue="1" id="{D1FF7C73-FFC9-4F42-AD3D-A90777D1DF7B}">
            <xm:f>AND(IF(AE357&lt;'F:\Users\norela.briceno\Documents\Plan de acción\Plan Accion 2018\[Plan Accion Integrado ADRES Vigencia 2018 con Cuadro de Mando V6..xlsx]Plan de Accion 2018'!#REF!,AE357&lt;&gt;"N/A"))</xm:f>
            <x14:dxf>
              <fill>
                <patternFill>
                  <bgColor indexed="10"/>
                </patternFill>
              </fill>
            </x14:dxf>
          </x14:cfRule>
          <xm:sqref>AE357</xm:sqref>
        </x14:conditionalFormatting>
        <x14:conditionalFormatting xmlns:xm="http://schemas.microsoft.com/office/excel/2006/main">
          <x14:cfRule type="expression" priority="6472" id="{4323F5CA-DEF8-4D4C-9F13-3D9B505138F8}">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6473" stopIfTrue="1" id="{D7659B76-4554-4007-A82E-B26540C77A8B}">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6474" stopIfTrue="1" id="{BA4BF1D3-7F94-4AD4-8544-76825FE1FC7E}">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6469" id="{20E4CAD4-C053-4496-BF86-B12317E42BF2}">
            <xm:f>AND(IF(AE247&gt;'F:\Users\norela.briceno\Documents\Plan de acción\Plan Accion 2018\[Plan Accion Integrado ADRES Vigencia 2018 con Cuadro de Mando V6..xlsx]Plan de Accion 2018'!#REF!,AE247&lt;&gt;¨N/A¨))</xm:f>
            <x14:dxf>
              <fill>
                <patternFill>
                  <bgColor theme="1" tint="0.499984740745262"/>
                </patternFill>
              </fill>
            </x14:dxf>
          </x14:cfRule>
          <x14:cfRule type="expression" priority="6470" stopIfTrue="1" id="{926492E0-4416-4DAD-AB39-4F5361BB5D37}">
            <xm:f>AND(IF(AE247='F:\Users\norela.briceno\Documents\Plan de acción\Plan Accion 2018\[Plan Accion Integrado ADRES Vigencia 2018 con Cuadro de Mando V6..xlsx]Plan de Accion 2018'!#REF!,AE247&lt;&gt;"N/A"))</xm:f>
            <x14:dxf>
              <fill>
                <patternFill>
                  <bgColor rgb="FF00B050"/>
                </patternFill>
              </fill>
            </x14:dxf>
          </x14:cfRule>
          <x14:cfRule type="expression" priority="6471" stopIfTrue="1" id="{33C58DE4-AC86-47E6-8343-55C72EA70CFF}">
            <xm:f>AND(IF(AE247&lt;'F:\Users\norela.briceno\Documents\Plan de acción\Plan Accion 2018\[Plan Accion Integrado ADRES Vigencia 2018 con Cuadro de Mando V6..xlsx]Plan de Accion 2018'!#REF!,AE247&lt;&gt;"N/A"))</xm:f>
            <x14:dxf>
              <fill>
                <patternFill>
                  <bgColor indexed="10"/>
                </patternFill>
              </fill>
            </x14:dxf>
          </x14:cfRule>
          <xm:sqref>AE247</xm:sqref>
        </x14:conditionalFormatting>
        <x14:conditionalFormatting xmlns:xm="http://schemas.microsoft.com/office/excel/2006/main">
          <x14:cfRule type="expression" priority="6466" id="{1F1CB742-4140-4232-8E2B-6B0DFB7228E3}">
            <xm:f>AND(IF(AE246&gt;'F:\Users\norela.briceno\Documents\Plan de acción\Plan Accion 2018\[Plan Accion Integrado ADRES Vigencia 2018 con Cuadro de Mando V6..xlsx]Plan de Accion 2018'!#REF!,AE246&lt;&gt;¨N/A¨))</xm:f>
            <x14:dxf>
              <fill>
                <patternFill>
                  <bgColor theme="1" tint="0.499984740745262"/>
                </patternFill>
              </fill>
            </x14:dxf>
          </x14:cfRule>
          <x14:cfRule type="expression" priority="6467" stopIfTrue="1" id="{05A79FE2-3AB3-4D1D-B422-3CB91E5BCC5A}">
            <xm:f>AND(IF(AE246='F:\Users\norela.briceno\Documents\Plan de acción\Plan Accion 2018\[Plan Accion Integrado ADRES Vigencia 2018 con Cuadro de Mando V6..xlsx]Plan de Accion 2018'!#REF!,AE246&lt;&gt;"N/A"))</xm:f>
            <x14:dxf>
              <fill>
                <patternFill>
                  <bgColor rgb="FF00B050"/>
                </patternFill>
              </fill>
            </x14:dxf>
          </x14:cfRule>
          <x14:cfRule type="expression" priority="6468" stopIfTrue="1" id="{C72C1A87-4EE4-4EB2-A654-329055FAC2CB}">
            <xm:f>AND(IF(AE246&lt;'F:\Users\norela.briceno\Documents\Plan de acción\Plan Accion 2018\[Plan Accion Integrado ADRES Vigencia 2018 con Cuadro de Mando V6..xlsx]Plan de Accion 2018'!#REF!,AE246&lt;&gt;"N/A"))</xm:f>
            <x14:dxf>
              <fill>
                <patternFill>
                  <bgColor indexed="10"/>
                </patternFill>
              </fill>
            </x14:dxf>
          </x14:cfRule>
          <xm:sqref>AE246</xm:sqref>
        </x14:conditionalFormatting>
        <x14:conditionalFormatting xmlns:xm="http://schemas.microsoft.com/office/excel/2006/main">
          <x14:cfRule type="expression" priority="6463" id="{82A73363-96EA-4CA1-8066-0244DBACC05D}">
            <xm:f>AND(IF(AE245&gt;'F:\Users\norela.briceno\Documents\Plan de acción\Plan Accion 2018\[Plan Accion Integrado ADRES Vigencia 2018 con Cuadro de Mando V6..xlsx]Plan de Accion 2018'!#REF!,AE245&lt;&gt;¨N/A¨))</xm:f>
            <x14:dxf>
              <fill>
                <patternFill>
                  <bgColor theme="1" tint="0.499984740745262"/>
                </patternFill>
              </fill>
            </x14:dxf>
          </x14:cfRule>
          <x14:cfRule type="expression" priority="6464" stopIfTrue="1" id="{48DB90EF-EF97-4E5B-AAB4-1D407EE05FF8}">
            <xm:f>AND(IF(AE245='F:\Users\norela.briceno\Documents\Plan de acción\Plan Accion 2018\[Plan Accion Integrado ADRES Vigencia 2018 con Cuadro de Mando V6..xlsx]Plan de Accion 2018'!#REF!,AE245&lt;&gt;"N/A"))</xm:f>
            <x14:dxf>
              <fill>
                <patternFill>
                  <bgColor rgb="FF00B050"/>
                </patternFill>
              </fill>
            </x14:dxf>
          </x14:cfRule>
          <x14:cfRule type="expression" priority="6465" stopIfTrue="1" id="{C091C791-E6ED-4A5D-A191-2ACCA4BBE6FA}">
            <xm:f>AND(IF(AE245&lt;'F:\Users\norela.briceno\Documents\Plan de acción\Plan Accion 2018\[Plan Accion Integrado ADRES Vigencia 2018 con Cuadro de Mando V6..xlsx]Plan de Accion 2018'!#REF!,AE245&lt;&gt;"N/A"))</xm:f>
            <x14:dxf>
              <fill>
                <patternFill>
                  <bgColor indexed="10"/>
                </patternFill>
              </fill>
            </x14:dxf>
          </x14:cfRule>
          <xm:sqref>AE245</xm:sqref>
        </x14:conditionalFormatting>
        <x14:conditionalFormatting xmlns:xm="http://schemas.microsoft.com/office/excel/2006/main">
          <x14:cfRule type="expression" priority="6460" id="{B638FDF5-0744-497F-A374-1B52E4538CF3}">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6461" stopIfTrue="1" id="{E7441A8F-142B-4E46-8D88-45576A984517}">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6462" stopIfTrue="1" id="{2DF0BF7C-9CC6-457E-90C4-09F13796A330}">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6457" id="{1F15BEA9-7C62-496F-9133-0755713FCC21}">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6458" stopIfTrue="1" id="{B6C3D5A0-AD1E-4BAA-9E39-161EFADA369F}">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6459" stopIfTrue="1" id="{CEE7C26B-0A74-4223-9D7B-D6E05989DDB2}">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6454" id="{6FA0EB37-DF2E-423B-BB58-9A2F2E0BA366}">
            <xm:f>AND(IF(AE239&gt;'F:\Users\norela.briceno\Documents\Plan de acción\Plan Accion 2018\[Plan Accion Integrado ADRES Vigencia 2018 con Cuadro de Mando V6..xlsx]Plan de Accion 2018'!#REF!,AE239&lt;&gt;¨N/A¨))</xm:f>
            <x14:dxf>
              <fill>
                <patternFill>
                  <bgColor theme="1" tint="0.499984740745262"/>
                </patternFill>
              </fill>
            </x14:dxf>
          </x14:cfRule>
          <x14:cfRule type="expression" priority="6455" stopIfTrue="1" id="{A448216A-2B7D-4A98-BEA4-CA99B9C1B8BB}">
            <xm:f>AND(IF(AE239='F:\Users\norela.briceno\Documents\Plan de acción\Plan Accion 2018\[Plan Accion Integrado ADRES Vigencia 2018 con Cuadro de Mando V6..xlsx]Plan de Accion 2018'!#REF!,AE239&lt;&gt;"N/A"))</xm:f>
            <x14:dxf>
              <fill>
                <patternFill>
                  <bgColor rgb="FF00B050"/>
                </patternFill>
              </fill>
            </x14:dxf>
          </x14:cfRule>
          <x14:cfRule type="expression" priority="6456" stopIfTrue="1" id="{2A810AC1-1620-4074-87C9-EA5339A47004}">
            <xm:f>AND(IF(AE239&lt;'F:\Users\norela.briceno\Documents\Plan de acción\Plan Accion 2018\[Plan Accion Integrado ADRES Vigencia 2018 con Cuadro de Mando V6..xlsx]Plan de Accion 2018'!#REF!,AE239&lt;&gt;"N/A"))</xm:f>
            <x14:dxf>
              <fill>
                <patternFill>
                  <bgColor indexed="10"/>
                </patternFill>
              </fill>
            </x14:dxf>
          </x14:cfRule>
          <xm:sqref>AE239</xm:sqref>
        </x14:conditionalFormatting>
        <x14:conditionalFormatting xmlns:xm="http://schemas.microsoft.com/office/excel/2006/main">
          <x14:cfRule type="expression" priority="6451" id="{70A7D77D-2DD5-417A-9A95-8703B589779B}">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6452" stopIfTrue="1" id="{EEF49855-D1AE-42C4-A0AF-0184693D12BF}">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6453" stopIfTrue="1" id="{924F2235-897E-4CB1-AFBF-EC4CC86E6F7E}">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6448" id="{A01D895A-D7CC-4551-A6E3-5025F8E39FA6}">
            <xm:f>AND(IF(AE233&gt;'F:\Users\norela.briceno\Documents\Plan de acción\Plan Accion 2018\[Plan Accion Integrado ADRES Vigencia 2018 con Cuadro de Mando V6..xlsx]Plan de Accion 2018'!#REF!,AE233&lt;&gt;¨N/A¨))</xm:f>
            <x14:dxf>
              <fill>
                <patternFill>
                  <bgColor theme="1" tint="0.499984740745262"/>
                </patternFill>
              </fill>
            </x14:dxf>
          </x14:cfRule>
          <x14:cfRule type="expression" priority="6449" stopIfTrue="1" id="{A8E87ABA-245D-407C-9C25-140CA9CC7F25}">
            <xm:f>AND(IF(AE233='F:\Users\norela.briceno\Documents\Plan de acción\Plan Accion 2018\[Plan Accion Integrado ADRES Vigencia 2018 con Cuadro de Mando V6..xlsx]Plan de Accion 2018'!#REF!,AE233&lt;&gt;"N/A"))</xm:f>
            <x14:dxf>
              <fill>
                <patternFill>
                  <bgColor rgb="FF00B050"/>
                </patternFill>
              </fill>
            </x14:dxf>
          </x14:cfRule>
          <x14:cfRule type="expression" priority="6450" stopIfTrue="1" id="{A83FA5A6-49C4-4B64-B15F-B27B08CE5ED2}">
            <xm:f>AND(IF(AE233&lt;'F:\Users\norela.briceno\Documents\Plan de acción\Plan Accion 2018\[Plan Accion Integrado ADRES Vigencia 2018 con Cuadro de Mando V6..xlsx]Plan de Accion 2018'!#REF!,AE233&lt;&gt;"N/A"))</xm:f>
            <x14:dxf>
              <fill>
                <patternFill>
                  <bgColor indexed="10"/>
                </patternFill>
              </fill>
            </x14:dxf>
          </x14:cfRule>
          <xm:sqref>AE233</xm:sqref>
        </x14:conditionalFormatting>
        <x14:conditionalFormatting xmlns:xm="http://schemas.microsoft.com/office/excel/2006/main">
          <x14:cfRule type="expression" priority="6445" id="{F9A06B9C-E4E1-44F4-9F01-41E0F7970D01}">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6446" stopIfTrue="1" id="{0C132A0C-1F7A-4C86-A2D0-9BF600D4FF49}">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6447" stopIfTrue="1" id="{7E214820-7F5E-469C-910F-EF480B020705}">
            <xm:f>AND(IF(AE215&lt;'F:\Users\norela.briceno\Documents\Plan de acción\Plan Accion 2018\[Plan Accion Integrado ADRES Vigencia 2018 con Cuadro de Mando V6..xlsx]Plan de Accion 2018'!#REF!,AE215&lt;&gt;"N/A"))</xm:f>
            <x14:dxf>
              <fill>
                <patternFill>
                  <bgColor indexed="10"/>
                </patternFill>
              </fill>
            </x14:dxf>
          </x14:cfRule>
          <xm:sqref>AE215</xm:sqref>
        </x14:conditionalFormatting>
        <x14:conditionalFormatting xmlns:xm="http://schemas.microsoft.com/office/excel/2006/main">
          <x14:cfRule type="expression" priority="6442" id="{4DBB7594-B223-485E-8070-76102B48A6AF}">
            <xm:f>AND(IF(AE212&gt;'F:\Users\norela.briceno\Documents\Plan de acción\Plan Accion 2018\[Plan Accion Integrado ADRES Vigencia 2018 con Cuadro de Mando V6..xlsx]Plan de Accion 2018'!#REF!,AE212&lt;&gt;¨N/A¨))</xm:f>
            <x14:dxf>
              <fill>
                <patternFill>
                  <bgColor theme="1" tint="0.499984740745262"/>
                </patternFill>
              </fill>
            </x14:dxf>
          </x14:cfRule>
          <x14:cfRule type="expression" priority="6443" stopIfTrue="1" id="{8F6D598B-CA15-48D3-B8FA-B3D9CB0CB9FB}">
            <xm:f>AND(IF(AE212='F:\Users\norela.briceno\Documents\Plan de acción\Plan Accion 2018\[Plan Accion Integrado ADRES Vigencia 2018 con Cuadro de Mando V6..xlsx]Plan de Accion 2018'!#REF!,AE212&lt;&gt;"N/A"))</xm:f>
            <x14:dxf>
              <fill>
                <patternFill>
                  <bgColor rgb="FF00B050"/>
                </patternFill>
              </fill>
            </x14:dxf>
          </x14:cfRule>
          <x14:cfRule type="expression" priority="6444" stopIfTrue="1" id="{38361D06-769C-42F4-B320-97F80606370D}">
            <xm:f>AND(IF(AE212&lt;'F:\Users\norela.briceno\Documents\Plan de acción\Plan Accion 2018\[Plan Accion Integrado ADRES Vigencia 2018 con Cuadro de Mando V6..xlsx]Plan de Accion 2018'!#REF!,AE212&lt;&gt;"N/A"))</xm:f>
            <x14:dxf>
              <fill>
                <patternFill>
                  <bgColor indexed="10"/>
                </patternFill>
              </fill>
            </x14:dxf>
          </x14:cfRule>
          <xm:sqref>AE212</xm:sqref>
        </x14:conditionalFormatting>
        <x14:conditionalFormatting xmlns:xm="http://schemas.microsoft.com/office/excel/2006/main">
          <x14:cfRule type="expression" priority="6439" id="{700A556B-2BBC-410C-B914-B5D7BFF18F1C}">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6440" stopIfTrue="1" id="{8216BCBD-51DA-4B49-B228-7866BEE0E994}">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6441" stopIfTrue="1" id="{D72216E0-27CB-4FE3-8437-EBCCD28CCABD}">
            <xm:f>AND(IF(AE211&lt;'F:\Users\norela.briceno\Documents\Plan de acción\Plan Accion 2018\[Plan Accion Integrado ADRES Vigencia 2018 con Cuadro de Mando V6..xlsx]Plan de Accion 2018'!#REF!,AE211&lt;&gt;"N/A"))</xm:f>
            <x14:dxf>
              <fill>
                <patternFill>
                  <bgColor indexed="10"/>
                </patternFill>
              </fill>
            </x14:dxf>
          </x14:cfRule>
          <xm:sqref>AE211</xm:sqref>
        </x14:conditionalFormatting>
        <x14:conditionalFormatting xmlns:xm="http://schemas.microsoft.com/office/excel/2006/main">
          <x14:cfRule type="expression" priority="6436" id="{D6E909DA-5D99-41B1-89BC-BA5C3EF422E4}">
            <xm:f>AND(IF(AE210&gt;'F:\Users\norela.briceno\Documents\Plan de acción\Plan Accion 2018\[Plan Accion Integrado ADRES Vigencia 2018 con Cuadro de Mando V6..xlsx]Plan de Accion 2018'!#REF!,AE210&lt;&gt;¨N/A¨))</xm:f>
            <x14:dxf>
              <fill>
                <patternFill>
                  <bgColor theme="1" tint="0.499984740745262"/>
                </patternFill>
              </fill>
            </x14:dxf>
          </x14:cfRule>
          <x14:cfRule type="expression" priority="6437" stopIfTrue="1" id="{BDB6E3D2-87BE-4E5B-BB16-F5E6DFFC74BA}">
            <xm:f>AND(IF(AE210='F:\Users\norela.briceno\Documents\Plan de acción\Plan Accion 2018\[Plan Accion Integrado ADRES Vigencia 2018 con Cuadro de Mando V6..xlsx]Plan de Accion 2018'!#REF!,AE210&lt;&gt;"N/A"))</xm:f>
            <x14:dxf>
              <fill>
                <patternFill>
                  <bgColor rgb="FF00B050"/>
                </patternFill>
              </fill>
            </x14:dxf>
          </x14:cfRule>
          <x14:cfRule type="expression" priority="6438" stopIfTrue="1" id="{DACA5B81-DEE1-41F6-8861-A549CB85D7BA}">
            <xm:f>AND(IF(AE210&lt;'F:\Users\norela.briceno\Documents\Plan de acción\Plan Accion 2018\[Plan Accion Integrado ADRES Vigencia 2018 con Cuadro de Mando V6..xlsx]Plan de Accion 2018'!#REF!,AE210&lt;&gt;"N/A"))</xm:f>
            <x14:dxf>
              <fill>
                <patternFill>
                  <bgColor indexed="10"/>
                </patternFill>
              </fill>
            </x14:dxf>
          </x14:cfRule>
          <xm:sqref>AE210</xm:sqref>
        </x14:conditionalFormatting>
        <x14:conditionalFormatting xmlns:xm="http://schemas.microsoft.com/office/excel/2006/main">
          <x14:cfRule type="expression" priority="6433" id="{461C2FCF-5233-4B5B-8FC1-4095BBD0C00E}">
            <xm:f>AND(IF(AE209&gt;'F:\Users\norela.briceno\Documents\Plan de acción\Plan Accion 2018\[Plan Accion Integrado ADRES Vigencia 2018 con Cuadro de Mando V6..xlsx]Plan de Accion 2018'!#REF!,AE209&lt;&gt;¨N/A¨))</xm:f>
            <x14:dxf>
              <fill>
                <patternFill>
                  <bgColor theme="1" tint="0.499984740745262"/>
                </patternFill>
              </fill>
            </x14:dxf>
          </x14:cfRule>
          <x14:cfRule type="expression" priority="6434" stopIfTrue="1" id="{971A2A8C-6345-4557-A01D-6049FBC916CE}">
            <xm:f>AND(IF(AE209='F:\Users\norela.briceno\Documents\Plan de acción\Plan Accion 2018\[Plan Accion Integrado ADRES Vigencia 2018 con Cuadro de Mando V6..xlsx]Plan de Accion 2018'!#REF!,AE209&lt;&gt;"N/A"))</xm:f>
            <x14:dxf>
              <fill>
                <patternFill>
                  <bgColor rgb="FF00B050"/>
                </patternFill>
              </fill>
            </x14:dxf>
          </x14:cfRule>
          <x14:cfRule type="expression" priority="6435" stopIfTrue="1" id="{A1752C03-D1A3-439E-A947-32AE538AE6CD}">
            <xm:f>AND(IF(AE209&lt;'F:\Users\norela.briceno\Documents\Plan de acción\Plan Accion 2018\[Plan Accion Integrado ADRES Vigencia 2018 con Cuadro de Mando V6..xlsx]Plan de Accion 2018'!#REF!,AE209&lt;&gt;"N/A"))</xm:f>
            <x14:dxf>
              <fill>
                <patternFill>
                  <bgColor indexed="10"/>
                </patternFill>
              </fill>
            </x14:dxf>
          </x14:cfRule>
          <xm:sqref>AE209</xm:sqref>
        </x14:conditionalFormatting>
        <x14:conditionalFormatting xmlns:xm="http://schemas.microsoft.com/office/excel/2006/main">
          <x14:cfRule type="expression" priority="6430" id="{CBB2C402-63BA-4F28-8819-0A9B179D9D16}">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6431" stopIfTrue="1" id="{FF314EBE-D04A-4C89-A69E-470045580144}">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6432" stopIfTrue="1" id="{5F56B1F1-B176-4ACF-AB4F-EBAE5CE318FB}">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6427" id="{A8E899CD-32CC-4C67-92DC-967102416F32}">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6428" stopIfTrue="1" id="{83E03AC0-6114-4CD8-AF83-FD65302BDAA8}">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6429" stopIfTrue="1" id="{1A5EAC61-EFD4-4F22-AC54-BA9DCF1C131D}">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6424" id="{733A2C0B-CC14-451E-88AD-4342D730856C}">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6425" stopIfTrue="1" id="{4D17816F-9444-4EF5-BBAD-E34FF1A71FD7}">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6426" stopIfTrue="1" id="{990CD048-B823-483E-A7B7-65432E163C06}">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6421" id="{5F10C782-8067-486D-8987-93529AFB757B}">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6422" stopIfTrue="1" id="{6619FFAF-8C50-4B91-8C0F-68C783D72039}">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6423" stopIfTrue="1" id="{429BCFFD-E161-465C-9672-EB3EBE78C914}">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6418" id="{ADA25DAC-DCB9-46AF-B25E-3F5746C644B4}">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6419" stopIfTrue="1" id="{326B173E-73E5-4E41-8ED8-254479543F03}">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6420" stopIfTrue="1" id="{33B6650B-9EF2-4556-A818-A2EC7F699288}">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6415" id="{9B8FEE61-7C9C-470C-AAE4-7387E4341BCD}">
            <xm:f>AND(IF(AE197&gt;'F:\Users\norela.briceno\Documents\Plan de acción\Plan Accion 2018\[Plan Accion Integrado ADRES Vigencia 2018 con Cuadro de Mando V6..xlsx]Plan de Accion 2018'!#REF!,AE197&lt;&gt;¨N/A¨))</xm:f>
            <x14:dxf>
              <fill>
                <patternFill>
                  <bgColor theme="1" tint="0.499984740745262"/>
                </patternFill>
              </fill>
            </x14:dxf>
          </x14:cfRule>
          <x14:cfRule type="expression" priority="6416" stopIfTrue="1" id="{83C8D59E-6297-44EC-BDBA-5D3DF3025660}">
            <xm:f>AND(IF(AE197='F:\Users\norela.briceno\Documents\Plan de acción\Plan Accion 2018\[Plan Accion Integrado ADRES Vigencia 2018 con Cuadro de Mando V6..xlsx]Plan de Accion 2018'!#REF!,AE197&lt;&gt;"N/A"))</xm:f>
            <x14:dxf>
              <fill>
                <patternFill>
                  <bgColor rgb="FF00B050"/>
                </patternFill>
              </fill>
            </x14:dxf>
          </x14:cfRule>
          <x14:cfRule type="expression" priority="6417" stopIfTrue="1" id="{66996DB2-5188-4690-ABEC-CC9F4FA1C52C}">
            <xm:f>AND(IF(AE197&lt;'F:\Users\norela.briceno\Documents\Plan de acción\Plan Accion 2018\[Plan Accion Integrado ADRES Vigencia 2018 con Cuadro de Mando V6..xlsx]Plan de Accion 2018'!#REF!,AE197&lt;&gt;"N/A"))</xm:f>
            <x14:dxf>
              <fill>
                <patternFill>
                  <bgColor indexed="10"/>
                </patternFill>
              </fill>
            </x14:dxf>
          </x14:cfRule>
          <xm:sqref>AE197</xm:sqref>
        </x14:conditionalFormatting>
        <x14:conditionalFormatting xmlns:xm="http://schemas.microsoft.com/office/excel/2006/main">
          <x14:cfRule type="expression" priority="6412" id="{28D13DBD-E4CB-470A-86BF-9F7C7F892DA0}">
            <xm:f>AND(IF(AE196&gt;'F:\Users\norela.briceno\Documents\Plan de acción\Plan Accion 2018\[Plan Accion Integrado ADRES Vigencia 2018 con Cuadro de Mando V6..xlsx]Plan de Accion 2018'!#REF!,AE196&lt;&gt;¨N/A¨))</xm:f>
            <x14:dxf>
              <fill>
                <patternFill>
                  <bgColor theme="1" tint="0.499984740745262"/>
                </patternFill>
              </fill>
            </x14:dxf>
          </x14:cfRule>
          <x14:cfRule type="expression" priority="6413" stopIfTrue="1" id="{F36FD939-6680-46A9-9067-DADD53B6DF93}">
            <xm:f>AND(IF(AE196='F:\Users\norela.briceno\Documents\Plan de acción\Plan Accion 2018\[Plan Accion Integrado ADRES Vigencia 2018 con Cuadro de Mando V6..xlsx]Plan de Accion 2018'!#REF!,AE196&lt;&gt;"N/A"))</xm:f>
            <x14:dxf>
              <fill>
                <patternFill>
                  <bgColor rgb="FF00B050"/>
                </patternFill>
              </fill>
            </x14:dxf>
          </x14:cfRule>
          <x14:cfRule type="expression" priority="6414" stopIfTrue="1" id="{5B245B57-552A-4942-9592-0F3AACAC1A28}">
            <xm:f>AND(IF(AE196&lt;'F:\Users\norela.briceno\Documents\Plan de acción\Plan Accion 2018\[Plan Accion Integrado ADRES Vigencia 2018 con Cuadro de Mando V6..xlsx]Plan de Accion 2018'!#REF!,AE196&lt;&gt;"N/A"))</xm:f>
            <x14:dxf>
              <fill>
                <patternFill>
                  <bgColor indexed="10"/>
                </patternFill>
              </fill>
            </x14:dxf>
          </x14:cfRule>
          <xm:sqref>AE196</xm:sqref>
        </x14:conditionalFormatting>
        <x14:conditionalFormatting xmlns:xm="http://schemas.microsoft.com/office/excel/2006/main">
          <x14:cfRule type="expression" priority="6409" id="{063D1373-65A3-41E2-B06D-F427BA8F9E4A}">
            <xm:f>AND(IF(AE195&gt;'F:\Users\norela.briceno\Documents\Plan de acción\Plan Accion 2018\[Plan Accion Integrado ADRES Vigencia 2018 con Cuadro de Mando V6..xlsx]Plan de Accion 2018'!#REF!,AE195&lt;&gt;¨N/A¨))</xm:f>
            <x14:dxf>
              <fill>
                <patternFill>
                  <bgColor theme="1" tint="0.499984740745262"/>
                </patternFill>
              </fill>
            </x14:dxf>
          </x14:cfRule>
          <x14:cfRule type="expression" priority="6410" stopIfTrue="1" id="{C43D929D-C08E-4150-9D02-4ACA0FE65F13}">
            <xm:f>AND(IF(AE195='F:\Users\norela.briceno\Documents\Plan de acción\Plan Accion 2018\[Plan Accion Integrado ADRES Vigencia 2018 con Cuadro de Mando V6..xlsx]Plan de Accion 2018'!#REF!,AE195&lt;&gt;"N/A"))</xm:f>
            <x14:dxf>
              <fill>
                <patternFill>
                  <bgColor rgb="FF00B050"/>
                </patternFill>
              </fill>
            </x14:dxf>
          </x14:cfRule>
          <x14:cfRule type="expression" priority="6411" stopIfTrue="1" id="{CD8579B6-4598-4A6E-9C62-8548CF3A53B5}">
            <xm:f>AND(IF(AE195&lt;'F:\Users\norela.briceno\Documents\Plan de acción\Plan Accion 2018\[Plan Accion Integrado ADRES Vigencia 2018 con Cuadro de Mando V6..xlsx]Plan de Accion 2018'!#REF!,AE195&lt;&gt;"N/A"))</xm:f>
            <x14:dxf>
              <fill>
                <patternFill>
                  <bgColor indexed="10"/>
                </patternFill>
              </fill>
            </x14:dxf>
          </x14:cfRule>
          <xm:sqref>AE195</xm:sqref>
        </x14:conditionalFormatting>
        <x14:conditionalFormatting xmlns:xm="http://schemas.microsoft.com/office/excel/2006/main">
          <x14:cfRule type="expression" priority="6406" id="{5A6E2BD2-8404-4371-8288-F7F37D6CD2AB}">
            <xm:f>AND(IF(AE194&gt;'F:\Users\norela.briceno\Documents\Plan de acción\Plan Accion 2018\[Plan Accion Integrado ADRES Vigencia 2018 con Cuadro de Mando V6..xlsx]Plan de Accion 2018'!#REF!,AE194&lt;&gt;¨N/A¨))</xm:f>
            <x14:dxf>
              <fill>
                <patternFill>
                  <bgColor theme="1" tint="0.499984740745262"/>
                </patternFill>
              </fill>
            </x14:dxf>
          </x14:cfRule>
          <x14:cfRule type="expression" priority="6407" stopIfTrue="1" id="{D49CE7CB-8400-4EBF-A90B-3106ED3E1DD0}">
            <xm:f>AND(IF(AE194='F:\Users\norela.briceno\Documents\Plan de acción\Plan Accion 2018\[Plan Accion Integrado ADRES Vigencia 2018 con Cuadro de Mando V6..xlsx]Plan de Accion 2018'!#REF!,AE194&lt;&gt;"N/A"))</xm:f>
            <x14:dxf>
              <fill>
                <patternFill>
                  <bgColor rgb="FF00B050"/>
                </patternFill>
              </fill>
            </x14:dxf>
          </x14:cfRule>
          <x14:cfRule type="expression" priority="6408" stopIfTrue="1" id="{85C28010-0957-4004-A5D4-C456DBD691F1}">
            <xm:f>AND(IF(AE194&lt;'F:\Users\norela.briceno\Documents\Plan de acción\Plan Accion 2018\[Plan Accion Integrado ADRES Vigencia 2018 con Cuadro de Mando V6..xlsx]Plan de Accion 2018'!#REF!,AE194&lt;&gt;"N/A"))</xm:f>
            <x14:dxf>
              <fill>
                <patternFill>
                  <bgColor indexed="10"/>
                </patternFill>
              </fill>
            </x14:dxf>
          </x14:cfRule>
          <xm:sqref>AE194</xm:sqref>
        </x14:conditionalFormatting>
        <x14:conditionalFormatting xmlns:xm="http://schemas.microsoft.com/office/excel/2006/main">
          <x14:cfRule type="expression" priority="6403" id="{A58D8DEA-AC85-48EB-83DB-BF83C0C5ED7C}">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6404" stopIfTrue="1" id="{86796F7C-56DC-4C43-B5E4-31028FE599FA}">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6405" stopIfTrue="1" id="{F7E1C00D-8EA5-4E64-A3A3-E9DDCAACFDDC}">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6400" id="{3117ACD1-10D9-461D-96D7-2BAF78992F2D}">
            <xm:f>AND(IF(AE188&gt;'F:\Users\norela.briceno\Documents\Plan de acción\Plan Accion 2018\[Plan Accion Integrado ADRES Vigencia 2018 con Cuadro de Mando V6..xlsx]Plan de Accion 2018'!#REF!,AE188&lt;&gt;¨N/A¨))</xm:f>
            <x14:dxf>
              <fill>
                <patternFill>
                  <bgColor theme="1" tint="0.499984740745262"/>
                </patternFill>
              </fill>
            </x14:dxf>
          </x14:cfRule>
          <x14:cfRule type="expression" priority="6401" stopIfTrue="1" id="{1339D56E-6BE5-45CC-B0F3-61527752E775}">
            <xm:f>AND(IF(AE188='F:\Users\norela.briceno\Documents\Plan de acción\Plan Accion 2018\[Plan Accion Integrado ADRES Vigencia 2018 con Cuadro de Mando V6..xlsx]Plan de Accion 2018'!#REF!,AE188&lt;&gt;"N/A"))</xm:f>
            <x14:dxf>
              <fill>
                <patternFill>
                  <bgColor rgb="FF00B050"/>
                </patternFill>
              </fill>
            </x14:dxf>
          </x14:cfRule>
          <x14:cfRule type="expression" priority="6402" stopIfTrue="1" id="{BBE0C286-D864-4E00-BA3D-50CB6D869D52}">
            <xm:f>AND(IF(AE188&lt;'F:\Users\norela.briceno\Documents\Plan de acción\Plan Accion 2018\[Plan Accion Integrado ADRES Vigencia 2018 con Cuadro de Mando V6..xlsx]Plan de Accion 2018'!#REF!,AE188&lt;&gt;"N/A"))</xm:f>
            <x14:dxf>
              <fill>
                <patternFill>
                  <bgColor indexed="10"/>
                </patternFill>
              </fill>
            </x14:dxf>
          </x14:cfRule>
          <xm:sqref>AE188</xm:sqref>
        </x14:conditionalFormatting>
        <x14:conditionalFormatting xmlns:xm="http://schemas.microsoft.com/office/excel/2006/main">
          <x14:cfRule type="expression" priority="6397" id="{741B5401-3443-4099-B4A1-93FBF7B0F41D}">
            <xm:f>AND(IF(AE187&gt;'F:\Users\norela.briceno\Documents\Plan de acción\Plan Accion 2018\[Plan Accion Integrado ADRES Vigencia 2018 con Cuadro de Mando V6..xlsx]Plan de Accion 2018'!#REF!,AE187&lt;&gt;¨N/A¨))</xm:f>
            <x14:dxf>
              <fill>
                <patternFill>
                  <bgColor theme="1" tint="0.499984740745262"/>
                </patternFill>
              </fill>
            </x14:dxf>
          </x14:cfRule>
          <x14:cfRule type="expression" priority="6398" stopIfTrue="1" id="{D92D6867-EF2F-4016-A08E-1B903E270DA7}">
            <xm:f>AND(IF(AE187='F:\Users\norela.briceno\Documents\Plan de acción\Plan Accion 2018\[Plan Accion Integrado ADRES Vigencia 2018 con Cuadro de Mando V6..xlsx]Plan de Accion 2018'!#REF!,AE187&lt;&gt;"N/A"))</xm:f>
            <x14:dxf>
              <fill>
                <patternFill>
                  <bgColor rgb="FF00B050"/>
                </patternFill>
              </fill>
            </x14:dxf>
          </x14:cfRule>
          <x14:cfRule type="expression" priority="6399" stopIfTrue="1" id="{4E4BC654-F34E-4882-B9C8-D8C72A450A16}">
            <xm:f>AND(IF(AE187&lt;'F:\Users\norela.briceno\Documents\Plan de acción\Plan Accion 2018\[Plan Accion Integrado ADRES Vigencia 2018 con Cuadro de Mando V6..xlsx]Plan de Accion 2018'!#REF!,AE187&lt;&gt;"N/A"))</xm:f>
            <x14:dxf>
              <fill>
                <patternFill>
                  <bgColor indexed="10"/>
                </patternFill>
              </fill>
            </x14:dxf>
          </x14:cfRule>
          <xm:sqref>AE187</xm:sqref>
        </x14:conditionalFormatting>
        <x14:conditionalFormatting xmlns:xm="http://schemas.microsoft.com/office/excel/2006/main">
          <x14:cfRule type="expression" priority="6394" id="{56C311D9-114C-4468-B68A-A587D2ED777F}">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6395" stopIfTrue="1" id="{62851354-132E-49F4-A153-E91F5DF2537D}">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6396" stopIfTrue="1" id="{56C8E85F-A6BD-4BCA-9723-ADCE56B782F7}">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6391" id="{7CE3B091-16A4-4C5C-B3F7-A18CD7D5E224}">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6392" stopIfTrue="1" id="{9B7E0DB4-3EB6-4FE3-A886-26066EE4A9AE}">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6393" stopIfTrue="1" id="{E480D4DE-80EF-463F-9D6E-009DA42A8BE6}">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6388" id="{9F705BD6-D3D1-437B-A350-6224EBE9EEFD}">
            <xm:f>AND(IF(AE176&gt;'F:\Users\norela.briceno\Documents\Plan de acción\Plan Accion 2018\[Plan Accion Integrado ADRES Vigencia 2018 con Cuadro de Mando V6..xlsx]Plan de Accion 2018'!#REF!,AE176&lt;&gt;¨N/A¨))</xm:f>
            <x14:dxf>
              <fill>
                <patternFill>
                  <bgColor theme="1" tint="0.499984740745262"/>
                </patternFill>
              </fill>
            </x14:dxf>
          </x14:cfRule>
          <x14:cfRule type="expression" priority="6389" stopIfTrue="1" id="{17DFEA55-3CEA-47FC-BBC5-24A9A958AECE}">
            <xm:f>AND(IF(AE176='F:\Users\norela.briceno\Documents\Plan de acción\Plan Accion 2018\[Plan Accion Integrado ADRES Vigencia 2018 con Cuadro de Mando V6..xlsx]Plan de Accion 2018'!#REF!,AE176&lt;&gt;"N/A"))</xm:f>
            <x14:dxf>
              <fill>
                <patternFill>
                  <bgColor rgb="FF00B050"/>
                </patternFill>
              </fill>
            </x14:dxf>
          </x14:cfRule>
          <x14:cfRule type="expression" priority="6390" stopIfTrue="1" id="{6826C526-7777-4FB5-9E6E-4C5A047A4360}">
            <xm:f>AND(IF(AE176&lt;'F:\Users\norela.briceno\Documents\Plan de acción\Plan Accion 2018\[Plan Accion Integrado ADRES Vigencia 2018 con Cuadro de Mando V6..xlsx]Plan de Accion 2018'!#REF!,AE176&lt;&gt;"N/A"))</xm:f>
            <x14:dxf>
              <fill>
                <patternFill>
                  <bgColor indexed="10"/>
                </patternFill>
              </fill>
            </x14:dxf>
          </x14:cfRule>
          <xm:sqref>AE176</xm:sqref>
        </x14:conditionalFormatting>
        <x14:conditionalFormatting xmlns:xm="http://schemas.microsoft.com/office/excel/2006/main">
          <x14:cfRule type="expression" priority="6385" id="{C3912647-B9C1-4B25-BA9C-4220E8C08073}">
            <xm:f>AND(IF(AE175&gt;'F:\Users\norela.briceno\Documents\Plan de acción\Plan Accion 2018\[Plan Accion Integrado ADRES Vigencia 2018 con Cuadro de Mando V6..xlsx]Plan de Accion 2018'!#REF!,AE175&lt;&gt;¨N/A¨))</xm:f>
            <x14:dxf>
              <fill>
                <patternFill>
                  <bgColor theme="1" tint="0.499984740745262"/>
                </patternFill>
              </fill>
            </x14:dxf>
          </x14:cfRule>
          <x14:cfRule type="expression" priority="6386" stopIfTrue="1" id="{F2ACF522-50EA-455C-912C-0D87A58E5E6D}">
            <xm:f>AND(IF(AE175='F:\Users\norela.briceno\Documents\Plan de acción\Plan Accion 2018\[Plan Accion Integrado ADRES Vigencia 2018 con Cuadro de Mando V6..xlsx]Plan de Accion 2018'!#REF!,AE175&lt;&gt;"N/A"))</xm:f>
            <x14:dxf>
              <fill>
                <patternFill>
                  <bgColor rgb="FF00B050"/>
                </patternFill>
              </fill>
            </x14:dxf>
          </x14:cfRule>
          <x14:cfRule type="expression" priority="6387" stopIfTrue="1" id="{D49C2A8F-A31E-4047-8A9B-27C1385BC3E2}">
            <xm:f>AND(IF(AE175&lt;'F:\Users\norela.briceno\Documents\Plan de acción\Plan Accion 2018\[Plan Accion Integrado ADRES Vigencia 2018 con Cuadro de Mando V6..xlsx]Plan de Accion 2018'!#REF!,AE175&lt;&gt;"N/A"))</xm:f>
            <x14:dxf>
              <fill>
                <patternFill>
                  <bgColor indexed="10"/>
                </patternFill>
              </fill>
            </x14:dxf>
          </x14:cfRule>
          <xm:sqref>AE175</xm:sqref>
        </x14:conditionalFormatting>
        <x14:conditionalFormatting xmlns:xm="http://schemas.microsoft.com/office/excel/2006/main">
          <x14:cfRule type="expression" priority="6382" id="{E32EDDB5-350F-4AD8-B5EC-A20CDB5685FA}">
            <xm:f>AND(IF(AE173&gt;'F:\Users\norela.briceno\Documents\Plan de acción\Plan Accion 2018\[Plan Accion Integrado ADRES Vigencia 2018 con Cuadro de Mando V6..xlsx]Plan de Accion 2018'!#REF!,AE173&lt;&gt;¨N/A¨))</xm:f>
            <x14:dxf>
              <fill>
                <patternFill>
                  <bgColor theme="1" tint="0.499984740745262"/>
                </patternFill>
              </fill>
            </x14:dxf>
          </x14:cfRule>
          <x14:cfRule type="expression" priority="6383" stopIfTrue="1" id="{ED1D1671-88E1-4203-B814-A25298F85FF1}">
            <xm:f>AND(IF(AE173='F:\Users\norela.briceno\Documents\Plan de acción\Plan Accion 2018\[Plan Accion Integrado ADRES Vigencia 2018 con Cuadro de Mando V6..xlsx]Plan de Accion 2018'!#REF!,AE173&lt;&gt;"N/A"))</xm:f>
            <x14:dxf>
              <fill>
                <patternFill>
                  <bgColor rgb="FF00B050"/>
                </patternFill>
              </fill>
            </x14:dxf>
          </x14:cfRule>
          <x14:cfRule type="expression" priority="6384" stopIfTrue="1" id="{147A696F-EEA6-430E-B7C2-0185758C60C0}">
            <xm:f>AND(IF(AE173&lt;'F:\Users\norela.briceno\Documents\Plan de acción\Plan Accion 2018\[Plan Accion Integrado ADRES Vigencia 2018 con Cuadro de Mando V6..xlsx]Plan de Accion 2018'!#REF!,AE173&lt;&gt;"N/A"))</xm:f>
            <x14:dxf>
              <fill>
                <patternFill>
                  <bgColor indexed="10"/>
                </patternFill>
              </fill>
            </x14:dxf>
          </x14:cfRule>
          <xm:sqref>AE173</xm:sqref>
        </x14:conditionalFormatting>
        <x14:conditionalFormatting xmlns:xm="http://schemas.microsoft.com/office/excel/2006/main">
          <x14:cfRule type="expression" priority="6379" id="{F4333865-95DA-4EF7-B4BA-27E1EC710E23}">
            <xm:f>AND(IF(AE171&gt;'F:\Users\norela.briceno\Documents\Plan de acción\Plan Accion 2018\[Plan Accion Integrado ADRES Vigencia 2018 con Cuadro de Mando V6..xlsx]Plan de Accion 2018'!#REF!,AE171&lt;&gt;¨N/A¨))</xm:f>
            <x14:dxf>
              <fill>
                <patternFill>
                  <bgColor theme="1" tint="0.499984740745262"/>
                </patternFill>
              </fill>
            </x14:dxf>
          </x14:cfRule>
          <x14:cfRule type="expression" priority="6380" stopIfTrue="1" id="{32602091-C862-441B-9C6E-C6867BF2BFAE}">
            <xm:f>AND(IF(AE171='F:\Users\norela.briceno\Documents\Plan de acción\Plan Accion 2018\[Plan Accion Integrado ADRES Vigencia 2018 con Cuadro de Mando V6..xlsx]Plan de Accion 2018'!#REF!,AE171&lt;&gt;"N/A"))</xm:f>
            <x14:dxf>
              <fill>
                <patternFill>
                  <bgColor rgb="FF00B050"/>
                </patternFill>
              </fill>
            </x14:dxf>
          </x14:cfRule>
          <x14:cfRule type="expression" priority="6381" stopIfTrue="1" id="{674761A8-35DE-42A5-8201-79A0C8492B7F}">
            <xm:f>AND(IF(AE171&lt;'F:\Users\norela.briceno\Documents\Plan de acción\Plan Accion 2018\[Plan Accion Integrado ADRES Vigencia 2018 con Cuadro de Mando V6..xlsx]Plan de Accion 2018'!#REF!,AE171&lt;&gt;"N/A"))</xm:f>
            <x14:dxf>
              <fill>
                <patternFill>
                  <bgColor indexed="10"/>
                </patternFill>
              </fill>
            </x14:dxf>
          </x14:cfRule>
          <xm:sqref>AE171</xm:sqref>
        </x14:conditionalFormatting>
        <x14:conditionalFormatting xmlns:xm="http://schemas.microsoft.com/office/excel/2006/main">
          <x14:cfRule type="expression" priority="6376" id="{1D6AD485-9090-4FCA-AEBC-0836FF67886F}">
            <xm:f>AND(IF(AE170&gt;'F:\Users\norela.briceno\Documents\Plan de acción\Plan Accion 2018\[Plan Accion Integrado ADRES Vigencia 2018 con Cuadro de Mando V6..xlsx]Plan de Accion 2018'!#REF!,AE170&lt;&gt;¨N/A¨))</xm:f>
            <x14:dxf>
              <fill>
                <patternFill>
                  <bgColor theme="1" tint="0.499984740745262"/>
                </patternFill>
              </fill>
            </x14:dxf>
          </x14:cfRule>
          <x14:cfRule type="expression" priority="6377" stopIfTrue="1" id="{E60BFA2A-89F5-4ED9-96A8-94935C0B69E5}">
            <xm:f>AND(IF(AE170='F:\Users\norela.briceno\Documents\Plan de acción\Plan Accion 2018\[Plan Accion Integrado ADRES Vigencia 2018 con Cuadro de Mando V6..xlsx]Plan de Accion 2018'!#REF!,AE170&lt;&gt;"N/A"))</xm:f>
            <x14:dxf>
              <fill>
                <patternFill>
                  <bgColor rgb="FF00B050"/>
                </patternFill>
              </fill>
            </x14:dxf>
          </x14:cfRule>
          <x14:cfRule type="expression" priority="6378" stopIfTrue="1" id="{A7CEB905-2E2D-4AA7-9CF5-D57A90F569B5}">
            <xm:f>AND(IF(AE170&lt;'F:\Users\norela.briceno\Documents\Plan de acción\Plan Accion 2018\[Plan Accion Integrado ADRES Vigencia 2018 con Cuadro de Mando V6..xlsx]Plan de Accion 2018'!#REF!,AE170&lt;&gt;"N/A"))</xm:f>
            <x14:dxf>
              <fill>
                <patternFill>
                  <bgColor indexed="10"/>
                </patternFill>
              </fill>
            </x14:dxf>
          </x14:cfRule>
          <xm:sqref>AE170</xm:sqref>
        </x14:conditionalFormatting>
        <x14:conditionalFormatting xmlns:xm="http://schemas.microsoft.com/office/excel/2006/main">
          <x14:cfRule type="expression" priority="6373" id="{D21A8BA8-556F-4845-8AB3-8CA317FD6DA1}">
            <xm:f>AND(IF(AE169&gt;'F:\Users\norela.briceno\Documents\Plan de acción\Plan Accion 2018\[Plan Accion Integrado ADRES Vigencia 2018 con Cuadro de Mando V6..xlsx]Plan de Accion 2018'!#REF!,AE169&lt;&gt;¨N/A¨))</xm:f>
            <x14:dxf>
              <fill>
                <patternFill>
                  <bgColor theme="1" tint="0.499984740745262"/>
                </patternFill>
              </fill>
            </x14:dxf>
          </x14:cfRule>
          <x14:cfRule type="expression" priority="6374" stopIfTrue="1" id="{FD5D219C-06D0-4ACF-87A6-C428FC91A3BE}">
            <xm:f>AND(IF(AE169='F:\Users\norela.briceno\Documents\Plan de acción\Plan Accion 2018\[Plan Accion Integrado ADRES Vigencia 2018 con Cuadro de Mando V6..xlsx]Plan de Accion 2018'!#REF!,AE169&lt;&gt;"N/A"))</xm:f>
            <x14:dxf>
              <fill>
                <patternFill>
                  <bgColor rgb="FF00B050"/>
                </patternFill>
              </fill>
            </x14:dxf>
          </x14:cfRule>
          <x14:cfRule type="expression" priority="6375" stopIfTrue="1" id="{CEBA417A-060A-497C-BE5A-F2E26A0D4847}">
            <xm:f>AND(IF(AE169&lt;'F:\Users\norela.briceno\Documents\Plan de acción\Plan Accion 2018\[Plan Accion Integrado ADRES Vigencia 2018 con Cuadro de Mando V6..xlsx]Plan de Accion 2018'!#REF!,AE169&lt;&gt;"N/A"))</xm:f>
            <x14:dxf>
              <fill>
                <patternFill>
                  <bgColor indexed="10"/>
                </patternFill>
              </fill>
            </x14:dxf>
          </x14:cfRule>
          <xm:sqref>AE169</xm:sqref>
        </x14:conditionalFormatting>
        <x14:conditionalFormatting xmlns:xm="http://schemas.microsoft.com/office/excel/2006/main">
          <x14:cfRule type="expression" priority="6370" id="{9AAF518D-3C6E-4904-B08A-495237D8B667}">
            <xm:f>AND(IF(AE168&gt;'F:\Users\norela.briceno\Documents\Plan de acción\Plan Accion 2018\[Plan Accion Integrado ADRES Vigencia 2018 con Cuadro de Mando V6..xlsx]Plan de Accion 2018'!#REF!,AE168&lt;&gt;¨N/A¨))</xm:f>
            <x14:dxf>
              <fill>
                <patternFill>
                  <bgColor theme="1" tint="0.499984740745262"/>
                </patternFill>
              </fill>
            </x14:dxf>
          </x14:cfRule>
          <x14:cfRule type="expression" priority="6371" stopIfTrue="1" id="{1CF16D6A-8285-4035-BFC9-C03F0CAA3599}">
            <xm:f>AND(IF(AE168='F:\Users\norela.briceno\Documents\Plan de acción\Plan Accion 2018\[Plan Accion Integrado ADRES Vigencia 2018 con Cuadro de Mando V6..xlsx]Plan de Accion 2018'!#REF!,AE168&lt;&gt;"N/A"))</xm:f>
            <x14:dxf>
              <fill>
                <patternFill>
                  <bgColor rgb="FF00B050"/>
                </patternFill>
              </fill>
            </x14:dxf>
          </x14:cfRule>
          <x14:cfRule type="expression" priority="6372" stopIfTrue="1" id="{8DDC8C16-E87A-4D23-B8D6-B8A2FF885FBA}">
            <xm:f>AND(IF(AE168&lt;'F:\Users\norela.briceno\Documents\Plan de acción\Plan Accion 2018\[Plan Accion Integrado ADRES Vigencia 2018 con Cuadro de Mando V6..xlsx]Plan de Accion 2018'!#REF!,AE168&lt;&gt;"N/A"))</xm:f>
            <x14:dxf>
              <fill>
                <patternFill>
                  <bgColor indexed="10"/>
                </patternFill>
              </fill>
            </x14:dxf>
          </x14:cfRule>
          <xm:sqref>AE168</xm:sqref>
        </x14:conditionalFormatting>
        <x14:conditionalFormatting xmlns:xm="http://schemas.microsoft.com/office/excel/2006/main">
          <x14:cfRule type="expression" priority="6367" id="{CBA30839-1BB9-4400-9E8C-39F2BB17965C}">
            <xm:f>AND(IF(AE165&gt;'F:\Users\norela.briceno\Documents\Plan de acción\Plan Accion 2018\[Plan Accion Integrado ADRES Vigencia 2018 con Cuadro de Mando V6..xlsx]Plan de Accion 2018'!#REF!,AE165&lt;&gt;¨N/A¨))</xm:f>
            <x14:dxf>
              <fill>
                <patternFill>
                  <bgColor theme="1" tint="0.499984740745262"/>
                </patternFill>
              </fill>
            </x14:dxf>
          </x14:cfRule>
          <x14:cfRule type="expression" priority="6368" stopIfTrue="1" id="{7158109E-6DCF-42A9-8EF9-CAA425835B79}">
            <xm:f>AND(IF(AE165='F:\Users\norela.briceno\Documents\Plan de acción\Plan Accion 2018\[Plan Accion Integrado ADRES Vigencia 2018 con Cuadro de Mando V6..xlsx]Plan de Accion 2018'!#REF!,AE165&lt;&gt;"N/A"))</xm:f>
            <x14:dxf>
              <fill>
                <patternFill>
                  <bgColor rgb="FF00B050"/>
                </patternFill>
              </fill>
            </x14:dxf>
          </x14:cfRule>
          <x14:cfRule type="expression" priority="6369" stopIfTrue="1" id="{93B424A5-2028-4C41-AE5B-F68AE9961688}">
            <xm:f>AND(IF(AE165&lt;'F:\Users\norela.briceno\Documents\Plan de acción\Plan Accion 2018\[Plan Accion Integrado ADRES Vigencia 2018 con Cuadro de Mando V6..xlsx]Plan de Accion 2018'!#REF!,AE165&lt;&gt;"N/A"))</xm:f>
            <x14:dxf>
              <fill>
                <patternFill>
                  <bgColor indexed="10"/>
                </patternFill>
              </fill>
            </x14:dxf>
          </x14:cfRule>
          <xm:sqref>AE165</xm:sqref>
        </x14:conditionalFormatting>
        <x14:conditionalFormatting xmlns:xm="http://schemas.microsoft.com/office/excel/2006/main">
          <x14:cfRule type="expression" priority="6361" id="{74A8A1AE-D629-49E0-885A-601B4DA33AD6}">
            <xm:f>AND(IF(AE154&gt;'F:\Users\norela.briceno\Documents\Plan de acción\Plan Accion 2018\[Plan Accion Integrado ADRES Vigencia 2018 con Cuadro de Mando V6..xlsx]Plan de Accion 2018'!#REF!,AE154&lt;&gt;¨N/A¨))</xm:f>
            <x14:dxf>
              <fill>
                <patternFill>
                  <bgColor theme="1" tint="0.499984740745262"/>
                </patternFill>
              </fill>
            </x14:dxf>
          </x14:cfRule>
          <x14:cfRule type="expression" priority="6362" stopIfTrue="1" id="{DAE33AE1-BB36-4801-8225-BFB331C94770}">
            <xm:f>AND(IF(AE154='F:\Users\norela.briceno\Documents\Plan de acción\Plan Accion 2018\[Plan Accion Integrado ADRES Vigencia 2018 con Cuadro de Mando V6..xlsx]Plan de Accion 2018'!#REF!,AE154&lt;&gt;"N/A"))</xm:f>
            <x14:dxf>
              <fill>
                <patternFill>
                  <bgColor rgb="FF00B050"/>
                </patternFill>
              </fill>
            </x14:dxf>
          </x14:cfRule>
          <x14:cfRule type="expression" priority="6363" stopIfTrue="1" id="{6C71D013-FF87-4B1A-8F6A-63DB5671DF83}">
            <xm:f>AND(IF(AE154&lt;'F:\Users\norela.briceno\Documents\Plan de acción\Plan Accion 2018\[Plan Accion Integrado ADRES Vigencia 2018 con Cuadro de Mando V6..xlsx]Plan de Accion 2018'!#REF!,AE154&lt;&gt;"N/A"))</xm:f>
            <x14:dxf>
              <fill>
                <patternFill>
                  <bgColor indexed="10"/>
                </patternFill>
              </fill>
            </x14:dxf>
          </x14:cfRule>
          <xm:sqref>AE154</xm:sqref>
        </x14:conditionalFormatting>
        <x14:conditionalFormatting xmlns:xm="http://schemas.microsoft.com/office/excel/2006/main">
          <x14:cfRule type="expression" priority="6358" id="{B126CB50-B345-47DC-9B2E-1FC1B50B1E67}">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6359" stopIfTrue="1" id="{B4EDFC42-D400-4500-AF10-72E3C47C60A7}">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6360" stopIfTrue="1" id="{25611B9D-64B0-44BD-BA6E-083FCB78B8A4}">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6355" id="{E153D042-D4E6-4BE4-BE56-D2D671CE35F3}">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6356" stopIfTrue="1" id="{3046E581-8C65-4A41-B52E-D5309D919B8D}">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6357" stopIfTrue="1" id="{AFB9723D-EEB9-4342-A88F-825DF95415B0}">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6352" id="{EF9960B1-2D09-4B87-89B8-7F3997793A49}">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6353" stopIfTrue="1" id="{A4F3FC48-CE7B-41A9-9983-920FE16AB633}">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6354" stopIfTrue="1" id="{DC9BD7CC-0782-4E91-9F70-FBEB7E8F4B62}">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6349" id="{940DD5DE-18B7-4453-85FF-45093FA44DF5}">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6350" stopIfTrue="1" id="{D536C1E5-7208-4B2D-89C8-9D50BC4F2B4E}">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6351" stopIfTrue="1" id="{477D9079-5B89-4C4F-B0C5-936F424C09B7}">
            <xm:f>AND(IF(AE149&lt;'F:\Users\norela.briceno\Documents\Plan de acción\Plan Accion 2018\[Plan Accion Integrado ADRES Vigencia 2018 con Cuadro de Mando V6..xlsx]Plan de Accion 2018'!#REF!,AE149&lt;&gt;"N/A"))</xm:f>
            <x14:dxf>
              <fill>
                <patternFill>
                  <bgColor indexed="10"/>
                </patternFill>
              </fill>
            </x14:dxf>
          </x14:cfRule>
          <xm:sqref>AE149</xm:sqref>
        </x14:conditionalFormatting>
        <x14:conditionalFormatting xmlns:xm="http://schemas.microsoft.com/office/excel/2006/main">
          <x14:cfRule type="expression" priority="6346" id="{0232982A-7003-4F9F-8473-C468EE8510A5}">
            <xm:f>AND(IF(CP144&gt;'F:\Users\norela.briceno\Documents\Plan de acción\Plan Accion 2018\[Plan Accion Integrado ADRES Vigencia 2018 con Cuadro de Mando V6..xlsx]Plan de Accion 2018'!#REF!,CP144&lt;&gt;¨N/A¨))</xm:f>
            <x14:dxf>
              <fill>
                <patternFill>
                  <bgColor theme="1" tint="0.499984740745262"/>
                </patternFill>
              </fill>
            </x14:dxf>
          </x14:cfRule>
          <x14:cfRule type="expression" priority="6347" stopIfTrue="1" id="{F36932E4-39ED-4AB5-BBFC-043983733745}">
            <xm:f>AND(IF(CP144='F:\Users\norela.briceno\Documents\Plan de acción\Plan Accion 2018\[Plan Accion Integrado ADRES Vigencia 2018 con Cuadro de Mando V6..xlsx]Plan de Accion 2018'!#REF!,CP144&lt;&gt;"N/A"))</xm:f>
            <x14:dxf>
              <fill>
                <patternFill>
                  <bgColor rgb="FF00B050"/>
                </patternFill>
              </fill>
            </x14:dxf>
          </x14:cfRule>
          <x14:cfRule type="expression" priority="6348" stopIfTrue="1" id="{1A829FAD-F382-48FF-B116-49C5AEBABEBA}">
            <xm:f>AND(IF(CP144&lt;'F:\Users\norela.briceno\Documents\Plan de acción\Plan Accion 2018\[Plan Accion Integrado ADRES Vigencia 2018 con Cuadro de Mando V6..xlsx]Plan de Accion 2018'!#REF!,CP144&lt;&gt;"N/A"))</xm:f>
            <x14:dxf>
              <fill>
                <patternFill>
                  <bgColor indexed="10"/>
                </patternFill>
              </fill>
            </x14:dxf>
          </x14:cfRule>
          <xm:sqref>CP144</xm:sqref>
        </x14:conditionalFormatting>
        <x14:conditionalFormatting xmlns:xm="http://schemas.microsoft.com/office/excel/2006/main">
          <x14:cfRule type="expression" priority="6343" id="{18D145BF-7234-4CA2-868A-9E938F14CDF5}">
            <xm:f>AND(IF(AE136&gt;'F:\Users\norela.briceno\Documents\Plan de acción\Plan Accion 2018\[Plan Accion Integrado ADRES Vigencia 2018 con Cuadro de Mando V6..xlsx]Plan de Accion 2018'!#REF!,AE136&lt;&gt;¨N/A¨))</xm:f>
            <x14:dxf>
              <fill>
                <patternFill>
                  <bgColor theme="1" tint="0.499984740745262"/>
                </patternFill>
              </fill>
            </x14:dxf>
          </x14:cfRule>
          <x14:cfRule type="expression" priority="6344" stopIfTrue="1" id="{C3C1EE0D-AF7A-44EE-8DB9-085488791868}">
            <xm:f>AND(IF(AE136='F:\Users\norela.briceno\Documents\Plan de acción\Plan Accion 2018\[Plan Accion Integrado ADRES Vigencia 2018 con Cuadro de Mando V6..xlsx]Plan de Accion 2018'!#REF!,AE136&lt;&gt;"N/A"))</xm:f>
            <x14:dxf>
              <fill>
                <patternFill>
                  <bgColor rgb="FF00B050"/>
                </patternFill>
              </fill>
            </x14:dxf>
          </x14:cfRule>
          <x14:cfRule type="expression" priority="6345" stopIfTrue="1" id="{31BA392C-970E-4B87-88DC-63817C2B4EC1}">
            <xm:f>AND(IF(AE136&lt;'F:\Users\norela.briceno\Documents\Plan de acción\Plan Accion 2018\[Plan Accion Integrado ADRES Vigencia 2018 con Cuadro de Mando V6..xlsx]Plan de Accion 2018'!#REF!,AE136&lt;&gt;"N/A"))</xm:f>
            <x14:dxf>
              <fill>
                <patternFill>
                  <bgColor indexed="10"/>
                </patternFill>
              </fill>
            </x14:dxf>
          </x14:cfRule>
          <xm:sqref>AE136</xm:sqref>
        </x14:conditionalFormatting>
        <x14:conditionalFormatting xmlns:xm="http://schemas.microsoft.com/office/excel/2006/main">
          <x14:cfRule type="expression" priority="5730" id="{D40DC778-E2C2-43EE-AB89-995C303D2AC6}">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5731" stopIfTrue="1" id="{3F21ED16-B94F-4F9C-9775-53F0C50F7290}">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5732" stopIfTrue="1" id="{E4C73641-3ED5-426D-9AEB-B8C0DD8DD0B1}">
            <xm:f>AND(IF(J36&lt;'F:\Users\norela.briceno\Documents\Plan de acción\Plan Accion 2018\[Plan Accion Integrado ADRES Vigencia 2018 con Cuadro de Mando V6..xlsx]Plan de Accion 2018'!#REF!,J36&lt;&gt;"N/A"))</xm:f>
            <x14:dxf>
              <fill>
                <patternFill>
                  <bgColor indexed="10"/>
                </patternFill>
              </fill>
            </x14:dxf>
          </x14:cfRule>
          <xm:sqref>J36 Q36 X36 AE36</xm:sqref>
        </x14:conditionalFormatting>
        <x14:conditionalFormatting xmlns:xm="http://schemas.microsoft.com/office/excel/2006/main">
          <x14:cfRule type="expression" priority="5652" id="{066979FA-E1A8-4BEF-92F0-D14CA5214AB0}">
            <xm:f>AND(IF(Q37&gt;'F:\Users\norela.briceno\Documents\Plan de acción\Plan Accion 2018\[Plan Accion Integrado ADRES Vigencia 2018 con Cuadro de Mando V6..xlsx]Plan de Accion 2018'!#REF!,Q37&lt;&gt;¨N/A¨))</xm:f>
            <x14:dxf>
              <fill>
                <patternFill>
                  <bgColor theme="1" tint="0.499984740745262"/>
                </patternFill>
              </fill>
            </x14:dxf>
          </x14:cfRule>
          <x14:cfRule type="expression" priority="5653" stopIfTrue="1" id="{F5D0CF07-CD97-43C1-9A0B-B1E090C9BA6B}">
            <xm:f>AND(IF(Q37='F:\Users\norela.briceno\Documents\Plan de acción\Plan Accion 2018\[Plan Accion Integrado ADRES Vigencia 2018 con Cuadro de Mando V6..xlsx]Plan de Accion 2018'!#REF!,Q37&lt;&gt;"N/A"))</xm:f>
            <x14:dxf>
              <fill>
                <patternFill>
                  <bgColor rgb="FF00B050"/>
                </patternFill>
              </fill>
            </x14:dxf>
          </x14:cfRule>
          <x14:cfRule type="expression" priority="5654" stopIfTrue="1" id="{D8FA30BF-5D65-454A-B2EE-44C24C534FBC}">
            <xm:f>AND(IF(Q37&lt;'F:\Users\norela.briceno\Documents\Plan de acción\Plan Accion 2018\[Plan Accion Integrado ADRES Vigencia 2018 con Cuadro de Mando V6..xlsx]Plan de Accion 2018'!#REF!,Q37&lt;&gt;"N/A"))</xm:f>
            <x14:dxf>
              <fill>
                <patternFill>
                  <bgColor indexed="10"/>
                </patternFill>
              </fill>
            </x14:dxf>
          </x14:cfRule>
          <xm:sqref>Q37:Q39 X37:X39 AE37:AE39</xm:sqref>
        </x14:conditionalFormatting>
        <x14:conditionalFormatting xmlns:xm="http://schemas.microsoft.com/office/excel/2006/main">
          <x14:cfRule type="expression" priority="5423" id="{5D42CFE1-7723-4C1C-97F6-36A6D48621A9}">
            <xm:f>AND(IF(J156&gt;'F:\Users\norela.briceno\Documents\Plan de acción\Plan Accion 2018\[Plan Accion Integrado ADRES Vigencia 2018 con Cuadro de Mando V6..xlsx]Plan de Accion 2018'!#REF!,J156&lt;&gt;¨N/A¨))</xm:f>
            <x14:dxf>
              <fill>
                <patternFill>
                  <bgColor theme="1" tint="0.499984740745262"/>
                </patternFill>
              </fill>
            </x14:dxf>
          </x14:cfRule>
          <x14:cfRule type="expression" priority="5424" stopIfTrue="1" id="{D95D4B49-027A-4F25-85B4-97D15C3A057F}">
            <xm:f>AND(IF(J156='F:\Users\norela.briceno\Documents\Plan de acción\Plan Accion 2018\[Plan Accion Integrado ADRES Vigencia 2018 con Cuadro de Mando V6..xlsx]Plan de Accion 2018'!#REF!,J156&lt;&gt;"N/A"))</xm:f>
            <x14:dxf>
              <fill>
                <patternFill>
                  <bgColor rgb="FF00B050"/>
                </patternFill>
              </fill>
            </x14:dxf>
          </x14:cfRule>
          <x14:cfRule type="expression" priority="5425" stopIfTrue="1" id="{3D566C9B-02A1-44B5-AF65-AAAA4E86A9DF}">
            <xm:f>AND(IF(J156&lt;'F:\Users\norela.briceno\Documents\Plan de acción\Plan Accion 2018\[Plan Accion Integrado ADRES Vigencia 2018 con Cuadro de Mando V6..xlsx]Plan de Accion 2018'!#REF!,J156&lt;&gt;"N/A"))</xm:f>
            <x14:dxf>
              <fill>
                <patternFill>
                  <bgColor indexed="10"/>
                </patternFill>
              </fill>
            </x14:dxf>
          </x14:cfRule>
          <xm:sqref>J156 Q156 AE156 X156</xm:sqref>
        </x14:conditionalFormatting>
        <x14:conditionalFormatting xmlns:xm="http://schemas.microsoft.com/office/excel/2006/main">
          <x14:cfRule type="expression" priority="5414" id="{B428D8F3-182D-46AD-B3FC-06BEC4FE24A2}">
            <xm:f>AND(IF(X156&gt;'F:\Users\norela.briceno\Documents\Plan de acción\Plan Accion 2018\[Plan Accion Integrado ADRES Vigencia 2018 con Cuadro de Mando V6..xlsx]Plan de Accion 2018'!#REF!,X156&lt;&gt;¨N/A¨))</xm:f>
            <x14:dxf>
              <fill>
                <patternFill>
                  <bgColor theme="1" tint="0.499984740745262"/>
                </patternFill>
              </fill>
            </x14:dxf>
          </x14:cfRule>
          <x14:cfRule type="expression" priority="5415" stopIfTrue="1" id="{C054B00B-392C-4C2A-B81A-3B0E9E51714B}">
            <xm:f>AND(IF(X156='F:\Users\norela.briceno\Documents\Plan de acción\Plan Accion 2018\[Plan Accion Integrado ADRES Vigencia 2018 con Cuadro de Mando V6..xlsx]Plan de Accion 2018'!#REF!,X156&lt;&gt;"N/A"))</xm:f>
            <x14:dxf>
              <fill>
                <patternFill>
                  <bgColor rgb="FF00B050"/>
                </patternFill>
              </fill>
            </x14:dxf>
          </x14:cfRule>
          <x14:cfRule type="expression" priority="5416" stopIfTrue="1" id="{F48025F7-3FEE-4C4C-9D1D-34313DEC7C72}">
            <xm:f>AND(IF(X156&lt;'F:\Users\norela.briceno\Documents\Plan de acción\Plan Accion 2018\[Plan Accion Integrado ADRES Vigencia 2018 con Cuadro de Mando V6..xlsx]Plan de Accion 2018'!#REF!,X156&lt;&gt;"N/A"))</xm:f>
            <x14:dxf>
              <fill>
                <patternFill>
                  <bgColor indexed="10"/>
                </patternFill>
              </fill>
            </x14:dxf>
          </x14:cfRule>
          <xm:sqref>X156</xm:sqref>
        </x14:conditionalFormatting>
        <x14:conditionalFormatting xmlns:xm="http://schemas.microsoft.com/office/excel/2006/main">
          <x14:cfRule type="expression" priority="5411" id="{B00A1618-9497-4AAD-BAE7-324C3A6BCAFF}">
            <xm:f>AND(IF(AE156&gt;'F:\Users\norela.briceno\Documents\Plan de acción\Plan Accion 2018\[Plan Accion Integrado ADRES Vigencia 2018 con Cuadro de Mando V6..xlsx]Plan de Accion 2018'!#REF!,AE156&lt;&gt;¨N/A¨))</xm:f>
            <x14:dxf>
              <fill>
                <patternFill>
                  <bgColor theme="1" tint="0.499984740745262"/>
                </patternFill>
              </fill>
            </x14:dxf>
          </x14:cfRule>
          <x14:cfRule type="expression" priority="5412" stopIfTrue="1" id="{A81BBDE2-4C50-464D-B8B2-1F5AF32F90F3}">
            <xm:f>AND(IF(AE156='F:\Users\norela.briceno\Documents\Plan de acción\Plan Accion 2018\[Plan Accion Integrado ADRES Vigencia 2018 con Cuadro de Mando V6..xlsx]Plan de Accion 2018'!#REF!,AE156&lt;&gt;"N/A"))</xm:f>
            <x14:dxf>
              <fill>
                <patternFill>
                  <bgColor rgb="FF00B050"/>
                </patternFill>
              </fill>
            </x14:dxf>
          </x14:cfRule>
          <x14:cfRule type="expression" priority="5413" stopIfTrue="1" id="{AD6EF8B3-55F3-4E0C-A208-12D973EA58D7}">
            <xm:f>AND(IF(AE156&lt;'F:\Users\norela.briceno\Documents\Plan de acción\Plan Accion 2018\[Plan Accion Integrado ADRES Vigencia 2018 con Cuadro de Mando V6..xlsx]Plan de Accion 2018'!#REF!,AE156&lt;&gt;"N/A"))</xm:f>
            <x14:dxf>
              <fill>
                <patternFill>
                  <bgColor indexed="10"/>
                </patternFill>
              </fill>
            </x14:dxf>
          </x14:cfRule>
          <xm:sqref>AE156</xm:sqref>
        </x14:conditionalFormatting>
        <x14:conditionalFormatting xmlns:xm="http://schemas.microsoft.com/office/excel/2006/main">
          <x14:cfRule type="expression" priority="5420" id="{B5735C13-7B22-451F-B8CF-BB70D676B316}">
            <xm:f>AND(IF(J156&gt;'F:\Users\norela.briceno\Documents\Plan de acción\Plan Accion 2018\[Plan Accion Integrado ADRES Vigencia 2018 con Cuadro de Mando V6..xlsx]Plan de Accion 2018'!#REF!,J156&lt;&gt;¨N/A¨))</xm:f>
            <x14:dxf>
              <fill>
                <patternFill>
                  <bgColor theme="1" tint="0.499984740745262"/>
                </patternFill>
              </fill>
            </x14:dxf>
          </x14:cfRule>
          <x14:cfRule type="expression" priority="5421" stopIfTrue="1" id="{BB72D678-43A8-49B5-AF9F-6457E15DC2DC}">
            <xm:f>AND(IF(J156='F:\Users\norela.briceno\Documents\Plan de acción\Plan Accion 2018\[Plan Accion Integrado ADRES Vigencia 2018 con Cuadro de Mando V6..xlsx]Plan de Accion 2018'!#REF!,J156&lt;&gt;"N/A"))</xm:f>
            <x14:dxf>
              <fill>
                <patternFill>
                  <bgColor rgb="FF00B050"/>
                </patternFill>
              </fill>
            </x14:dxf>
          </x14:cfRule>
          <x14:cfRule type="expression" priority="5422" stopIfTrue="1" id="{1AC2CAAB-F346-47FD-8456-BCBECE257834}">
            <xm:f>AND(IF(J156&lt;'F:\Users\norela.briceno\Documents\Plan de acción\Plan Accion 2018\[Plan Accion Integrado ADRES Vigencia 2018 con Cuadro de Mando V6..xlsx]Plan de Accion 2018'!#REF!,J156&lt;&gt;"N/A"))</xm:f>
            <x14:dxf>
              <fill>
                <patternFill>
                  <bgColor indexed="10"/>
                </patternFill>
              </fill>
            </x14:dxf>
          </x14:cfRule>
          <xm:sqref>J156</xm:sqref>
        </x14:conditionalFormatting>
        <x14:conditionalFormatting xmlns:xm="http://schemas.microsoft.com/office/excel/2006/main">
          <x14:cfRule type="expression" priority="5417" id="{514D4A8E-9851-4FA0-8953-4B2DA09BCE88}">
            <xm:f>AND(IF(Q156&gt;'F:\Users\norela.briceno\Documents\Plan de acción\Plan Accion 2018\[Plan Accion Integrado ADRES Vigencia 2018 con Cuadro de Mando V6..xlsx]Plan de Accion 2018'!#REF!,Q156&lt;&gt;¨N/A¨))</xm:f>
            <x14:dxf>
              <fill>
                <patternFill>
                  <bgColor theme="1" tint="0.499984740745262"/>
                </patternFill>
              </fill>
            </x14:dxf>
          </x14:cfRule>
          <x14:cfRule type="expression" priority="5418" stopIfTrue="1" id="{57A7F179-8409-4DB7-8558-268B2AC62625}">
            <xm:f>AND(IF(Q156='F:\Users\norela.briceno\Documents\Plan de acción\Plan Accion 2018\[Plan Accion Integrado ADRES Vigencia 2018 con Cuadro de Mando V6..xlsx]Plan de Accion 2018'!#REF!,Q156&lt;&gt;"N/A"))</xm:f>
            <x14:dxf>
              <fill>
                <patternFill>
                  <bgColor rgb="FF00B050"/>
                </patternFill>
              </fill>
            </x14:dxf>
          </x14:cfRule>
          <x14:cfRule type="expression" priority="5419" stopIfTrue="1" id="{C48F5FBD-5042-4ABC-955E-9765950ED94B}">
            <xm:f>AND(IF(Q156&lt;'F:\Users\norela.briceno\Documents\Plan de acción\Plan Accion 2018\[Plan Accion Integrado ADRES Vigencia 2018 con Cuadro de Mando V6..xlsx]Plan de Accion 2018'!#REF!,Q156&lt;&gt;"N/A"))</xm:f>
            <x14:dxf>
              <fill>
                <patternFill>
                  <bgColor indexed="10"/>
                </patternFill>
              </fill>
            </x14:dxf>
          </x14:cfRule>
          <xm:sqref>Q156</xm:sqref>
        </x14:conditionalFormatting>
        <x14:conditionalFormatting xmlns:xm="http://schemas.microsoft.com/office/excel/2006/main">
          <x14:cfRule type="expression" priority="5348" id="{FE3B6B1F-2AD3-4201-9B2C-28BBC91AB85B}">
            <xm:f>AND(IF(J157&gt;'F:\Users\norela.briceno\Documents\Plan de acción\Plan Accion 2018\[Plan Accion Integrado ADRES Vigencia 2018 con Cuadro de Mando V6..xlsx]Plan de Accion 2018'!#REF!,J157&lt;&gt;¨N/A¨))</xm:f>
            <x14:dxf>
              <fill>
                <patternFill>
                  <bgColor theme="1" tint="0.499984740745262"/>
                </patternFill>
              </fill>
            </x14:dxf>
          </x14:cfRule>
          <x14:cfRule type="expression" priority="5349" stopIfTrue="1" id="{49461828-FE0A-4B93-B038-26E850DA0DA9}">
            <xm:f>AND(IF(J157='F:\Users\norela.briceno\Documents\Plan de acción\Plan Accion 2018\[Plan Accion Integrado ADRES Vigencia 2018 con Cuadro de Mando V6..xlsx]Plan de Accion 2018'!#REF!,J157&lt;&gt;"N/A"))</xm:f>
            <x14:dxf>
              <fill>
                <patternFill>
                  <bgColor rgb="FF00B050"/>
                </patternFill>
              </fill>
            </x14:dxf>
          </x14:cfRule>
          <x14:cfRule type="expression" priority="5350" stopIfTrue="1" id="{80CF2528-498B-4F14-868F-5018378C6D3D}">
            <xm:f>AND(IF(J157&lt;'F:\Users\norela.briceno\Documents\Plan de acción\Plan Accion 2018\[Plan Accion Integrado ADRES Vigencia 2018 con Cuadro de Mando V6..xlsx]Plan de Accion 2018'!#REF!,J157&lt;&gt;"N/A"))</xm:f>
            <x14:dxf>
              <fill>
                <patternFill>
                  <bgColor indexed="10"/>
                </patternFill>
              </fill>
            </x14:dxf>
          </x14:cfRule>
          <xm:sqref>J157 Q157 AE157 X157</xm:sqref>
        </x14:conditionalFormatting>
        <x14:conditionalFormatting xmlns:xm="http://schemas.microsoft.com/office/excel/2006/main">
          <x14:cfRule type="expression" priority="5339" id="{39E16D68-990D-4441-A88A-C1ADD1C6EEE0}">
            <xm:f>AND(IF(X157&gt;'F:\Users\norela.briceno\Documents\Plan de acción\Plan Accion 2018\[Plan Accion Integrado ADRES Vigencia 2018 con Cuadro de Mando V6..xlsx]Plan de Accion 2018'!#REF!,X157&lt;&gt;¨N/A¨))</xm:f>
            <x14:dxf>
              <fill>
                <patternFill>
                  <bgColor theme="1" tint="0.499984740745262"/>
                </patternFill>
              </fill>
            </x14:dxf>
          </x14:cfRule>
          <x14:cfRule type="expression" priority="5340" stopIfTrue="1" id="{3CF7E1E4-88A4-482C-805B-5416593ABF0C}">
            <xm:f>AND(IF(X157='F:\Users\norela.briceno\Documents\Plan de acción\Plan Accion 2018\[Plan Accion Integrado ADRES Vigencia 2018 con Cuadro de Mando V6..xlsx]Plan de Accion 2018'!#REF!,X157&lt;&gt;"N/A"))</xm:f>
            <x14:dxf>
              <fill>
                <patternFill>
                  <bgColor rgb="FF00B050"/>
                </patternFill>
              </fill>
            </x14:dxf>
          </x14:cfRule>
          <x14:cfRule type="expression" priority="5341" stopIfTrue="1" id="{BC2A18AE-8222-42EA-B81A-9D7C671896A8}">
            <xm:f>AND(IF(X157&lt;'F:\Users\norela.briceno\Documents\Plan de acción\Plan Accion 2018\[Plan Accion Integrado ADRES Vigencia 2018 con Cuadro de Mando V6..xlsx]Plan de Accion 2018'!#REF!,X157&lt;&gt;"N/A"))</xm:f>
            <x14:dxf>
              <fill>
                <patternFill>
                  <bgColor indexed="10"/>
                </patternFill>
              </fill>
            </x14:dxf>
          </x14:cfRule>
          <xm:sqref>X157</xm:sqref>
        </x14:conditionalFormatting>
        <x14:conditionalFormatting xmlns:xm="http://schemas.microsoft.com/office/excel/2006/main">
          <x14:cfRule type="expression" priority="5336" id="{6E9F9AC6-8724-4196-A490-3AA641A7D704}">
            <xm:f>AND(IF(AE157&gt;'F:\Users\norela.briceno\Documents\Plan de acción\Plan Accion 2018\[Plan Accion Integrado ADRES Vigencia 2018 con Cuadro de Mando V6..xlsx]Plan de Accion 2018'!#REF!,AE157&lt;&gt;¨N/A¨))</xm:f>
            <x14:dxf>
              <fill>
                <patternFill>
                  <bgColor theme="1" tint="0.499984740745262"/>
                </patternFill>
              </fill>
            </x14:dxf>
          </x14:cfRule>
          <x14:cfRule type="expression" priority="5337" stopIfTrue="1" id="{CC2BB1F6-59CC-417B-8006-70C55FA7F481}">
            <xm:f>AND(IF(AE157='F:\Users\norela.briceno\Documents\Plan de acción\Plan Accion 2018\[Plan Accion Integrado ADRES Vigencia 2018 con Cuadro de Mando V6..xlsx]Plan de Accion 2018'!#REF!,AE157&lt;&gt;"N/A"))</xm:f>
            <x14:dxf>
              <fill>
                <patternFill>
                  <bgColor rgb="FF00B050"/>
                </patternFill>
              </fill>
            </x14:dxf>
          </x14:cfRule>
          <x14:cfRule type="expression" priority="5338" stopIfTrue="1" id="{F4D528A3-FFD7-42BA-922E-5D1C5CEFC108}">
            <xm:f>AND(IF(AE157&lt;'F:\Users\norela.briceno\Documents\Plan de acción\Plan Accion 2018\[Plan Accion Integrado ADRES Vigencia 2018 con Cuadro de Mando V6..xlsx]Plan de Accion 2018'!#REF!,AE157&lt;&gt;"N/A"))</xm:f>
            <x14:dxf>
              <fill>
                <patternFill>
                  <bgColor indexed="10"/>
                </patternFill>
              </fill>
            </x14:dxf>
          </x14:cfRule>
          <xm:sqref>AE157</xm:sqref>
        </x14:conditionalFormatting>
        <x14:conditionalFormatting xmlns:xm="http://schemas.microsoft.com/office/excel/2006/main">
          <x14:cfRule type="expression" priority="5345" id="{04018A8C-C270-4F90-8327-7764967DA3D1}">
            <xm:f>AND(IF(J157&gt;'F:\Users\norela.briceno\Documents\Plan de acción\Plan Accion 2018\[Plan Accion Integrado ADRES Vigencia 2018 con Cuadro de Mando V6..xlsx]Plan de Accion 2018'!#REF!,J157&lt;&gt;¨N/A¨))</xm:f>
            <x14:dxf>
              <fill>
                <patternFill>
                  <bgColor theme="1" tint="0.499984740745262"/>
                </patternFill>
              </fill>
            </x14:dxf>
          </x14:cfRule>
          <x14:cfRule type="expression" priority="5346" stopIfTrue="1" id="{0FA6235F-73A1-4AE8-8C4F-981B18177465}">
            <xm:f>AND(IF(J157='F:\Users\norela.briceno\Documents\Plan de acción\Plan Accion 2018\[Plan Accion Integrado ADRES Vigencia 2018 con Cuadro de Mando V6..xlsx]Plan de Accion 2018'!#REF!,J157&lt;&gt;"N/A"))</xm:f>
            <x14:dxf>
              <fill>
                <patternFill>
                  <bgColor rgb="FF00B050"/>
                </patternFill>
              </fill>
            </x14:dxf>
          </x14:cfRule>
          <x14:cfRule type="expression" priority="5347" stopIfTrue="1" id="{5F677F1A-B2CF-4D51-9AFA-ADF9B17A0555}">
            <xm:f>AND(IF(J157&lt;'F:\Users\norela.briceno\Documents\Plan de acción\Plan Accion 2018\[Plan Accion Integrado ADRES Vigencia 2018 con Cuadro de Mando V6..xlsx]Plan de Accion 2018'!#REF!,J157&lt;&gt;"N/A"))</xm:f>
            <x14:dxf>
              <fill>
                <patternFill>
                  <bgColor indexed="10"/>
                </patternFill>
              </fill>
            </x14:dxf>
          </x14:cfRule>
          <xm:sqref>J157</xm:sqref>
        </x14:conditionalFormatting>
        <x14:conditionalFormatting xmlns:xm="http://schemas.microsoft.com/office/excel/2006/main">
          <x14:cfRule type="expression" priority="5342" id="{A13D4646-8C4C-4A18-B7C2-54C461F65B29}">
            <xm:f>AND(IF(Q157&gt;'F:\Users\norela.briceno\Documents\Plan de acción\Plan Accion 2018\[Plan Accion Integrado ADRES Vigencia 2018 con Cuadro de Mando V6..xlsx]Plan de Accion 2018'!#REF!,Q157&lt;&gt;¨N/A¨))</xm:f>
            <x14:dxf>
              <fill>
                <patternFill>
                  <bgColor theme="1" tint="0.499984740745262"/>
                </patternFill>
              </fill>
            </x14:dxf>
          </x14:cfRule>
          <x14:cfRule type="expression" priority="5343" stopIfTrue="1" id="{F7F8792F-1021-45BA-B826-05FD607B2E2B}">
            <xm:f>AND(IF(Q157='F:\Users\norela.briceno\Documents\Plan de acción\Plan Accion 2018\[Plan Accion Integrado ADRES Vigencia 2018 con Cuadro de Mando V6..xlsx]Plan de Accion 2018'!#REF!,Q157&lt;&gt;"N/A"))</xm:f>
            <x14:dxf>
              <fill>
                <patternFill>
                  <bgColor rgb="FF00B050"/>
                </patternFill>
              </fill>
            </x14:dxf>
          </x14:cfRule>
          <x14:cfRule type="expression" priority="5344" stopIfTrue="1" id="{CF81AAC8-4CF9-4B67-A2E3-D8A30C7161FA}">
            <xm:f>AND(IF(Q157&lt;'F:\Users\norela.briceno\Documents\Plan de acción\Plan Accion 2018\[Plan Accion Integrado ADRES Vigencia 2018 con Cuadro de Mando V6..xlsx]Plan de Accion 2018'!#REF!,Q157&lt;&gt;"N/A"))</xm:f>
            <x14:dxf>
              <fill>
                <patternFill>
                  <bgColor indexed="10"/>
                </patternFill>
              </fill>
            </x14:dxf>
          </x14:cfRule>
          <xm:sqref>Q157</xm:sqref>
        </x14:conditionalFormatting>
        <x14:conditionalFormatting xmlns:xm="http://schemas.microsoft.com/office/excel/2006/main">
          <x14:cfRule type="expression" priority="5273" id="{F9B30121-17B9-4854-90AF-CDF6F73312DB}">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5274" stopIfTrue="1" id="{CC59EA34-A3A3-4701-85E3-285F819B4E0D}">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5275" stopIfTrue="1" id="{8631FE4F-D56B-4E56-804B-1A94F1976B0F}">
            <xm:f>AND(IF(J158&lt;'F:\Users\norela.briceno\Documents\Plan de acción\Plan Accion 2018\[Plan Accion Integrado ADRES Vigencia 2018 con Cuadro de Mando V6..xlsx]Plan de Accion 2018'!#REF!,J158&lt;&gt;"N/A"))</xm:f>
            <x14:dxf>
              <fill>
                <patternFill>
                  <bgColor indexed="10"/>
                </patternFill>
              </fill>
            </x14:dxf>
          </x14:cfRule>
          <xm:sqref>J158 Q158 AE158 X158</xm:sqref>
        </x14:conditionalFormatting>
        <x14:conditionalFormatting xmlns:xm="http://schemas.microsoft.com/office/excel/2006/main">
          <x14:cfRule type="expression" priority="5264" id="{7582E4CA-DCEB-43EE-80A6-1064EAB84261}">
            <xm:f>AND(IF(X158&gt;'F:\Users\norela.briceno\Documents\Plan de acción\Plan Accion 2018\[Plan Accion Integrado ADRES Vigencia 2018 con Cuadro de Mando V6..xlsx]Plan de Accion 2018'!#REF!,X158&lt;&gt;¨N/A¨))</xm:f>
            <x14:dxf>
              <fill>
                <patternFill>
                  <bgColor theme="1" tint="0.499984740745262"/>
                </patternFill>
              </fill>
            </x14:dxf>
          </x14:cfRule>
          <x14:cfRule type="expression" priority="5265" stopIfTrue="1" id="{71F40028-F7AE-4969-9499-ADE170479D7A}">
            <xm:f>AND(IF(X158='F:\Users\norela.briceno\Documents\Plan de acción\Plan Accion 2018\[Plan Accion Integrado ADRES Vigencia 2018 con Cuadro de Mando V6..xlsx]Plan de Accion 2018'!#REF!,X158&lt;&gt;"N/A"))</xm:f>
            <x14:dxf>
              <fill>
                <patternFill>
                  <bgColor rgb="FF00B050"/>
                </patternFill>
              </fill>
            </x14:dxf>
          </x14:cfRule>
          <x14:cfRule type="expression" priority="5266" stopIfTrue="1" id="{16A9768F-93FF-437D-ABC1-8CB5BF05DA3F}">
            <xm:f>AND(IF(X158&lt;'F:\Users\norela.briceno\Documents\Plan de acción\Plan Accion 2018\[Plan Accion Integrado ADRES Vigencia 2018 con Cuadro de Mando V6..xlsx]Plan de Accion 2018'!#REF!,X158&lt;&gt;"N/A"))</xm:f>
            <x14:dxf>
              <fill>
                <patternFill>
                  <bgColor indexed="10"/>
                </patternFill>
              </fill>
            </x14:dxf>
          </x14:cfRule>
          <xm:sqref>X158</xm:sqref>
        </x14:conditionalFormatting>
        <x14:conditionalFormatting xmlns:xm="http://schemas.microsoft.com/office/excel/2006/main">
          <x14:cfRule type="expression" priority="5261" id="{96C456E4-1AC8-4527-8CE9-B55F7B150CE7}">
            <xm:f>AND(IF(AE158&gt;'F:\Users\norela.briceno\Documents\Plan de acción\Plan Accion 2018\[Plan Accion Integrado ADRES Vigencia 2018 con Cuadro de Mando V6..xlsx]Plan de Accion 2018'!#REF!,AE158&lt;&gt;¨N/A¨))</xm:f>
            <x14:dxf>
              <fill>
                <patternFill>
                  <bgColor theme="1" tint="0.499984740745262"/>
                </patternFill>
              </fill>
            </x14:dxf>
          </x14:cfRule>
          <x14:cfRule type="expression" priority="5262" stopIfTrue="1" id="{76B755E8-6E06-4DFC-A882-7BA31B41DD52}">
            <xm:f>AND(IF(AE158='F:\Users\norela.briceno\Documents\Plan de acción\Plan Accion 2018\[Plan Accion Integrado ADRES Vigencia 2018 con Cuadro de Mando V6..xlsx]Plan de Accion 2018'!#REF!,AE158&lt;&gt;"N/A"))</xm:f>
            <x14:dxf>
              <fill>
                <patternFill>
                  <bgColor rgb="FF00B050"/>
                </patternFill>
              </fill>
            </x14:dxf>
          </x14:cfRule>
          <x14:cfRule type="expression" priority="5263" stopIfTrue="1" id="{9B6DC9F4-DCE1-4EB7-8A79-06A8DD36293D}">
            <xm:f>AND(IF(AE158&lt;'F:\Users\norela.briceno\Documents\Plan de acción\Plan Accion 2018\[Plan Accion Integrado ADRES Vigencia 2018 con Cuadro de Mando V6..xlsx]Plan de Accion 2018'!#REF!,AE158&lt;&gt;"N/A"))</xm:f>
            <x14:dxf>
              <fill>
                <patternFill>
                  <bgColor indexed="10"/>
                </patternFill>
              </fill>
            </x14:dxf>
          </x14:cfRule>
          <xm:sqref>AE158</xm:sqref>
        </x14:conditionalFormatting>
        <x14:conditionalFormatting xmlns:xm="http://schemas.microsoft.com/office/excel/2006/main">
          <x14:cfRule type="expression" priority="5270" id="{B4FF5167-6040-499F-AB62-B3E1C8992832}">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5271" stopIfTrue="1" id="{BD5DE37C-AC73-4AEB-8C77-7F35562608D7}">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5272" stopIfTrue="1" id="{88210313-6502-4998-93F4-EA2BF5E4F742}">
            <xm:f>AND(IF(J158&lt;'F:\Users\norela.briceno\Documents\Plan de acción\Plan Accion 2018\[Plan Accion Integrado ADRES Vigencia 2018 con Cuadro de Mando V6..xlsx]Plan de Accion 2018'!#REF!,J158&lt;&gt;"N/A"))</xm:f>
            <x14:dxf>
              <fill>
                <patternFill>
                  <bgColor indexed="10"/>
                </patternFill>
              </fill>
            </x14:dxf>
          </x14:cfRule>
          <xm:sqref>J158</xm:sqref>
        </x14:conditionalFormatting>
        <x14:conditionalFormatting xmlns:xm="http://schemas.microsoft.com/office/excel/2006/main">
          <x14:cfRule type="expression" priority="5267" id="{BFFCD5ED-9757-4C06-BBF4-1B958080C417}">
            <xm:f>AND(IF(Q158&gt;'F:\Users\norela.briceno\Documents\Plan de acción\Plan Accion 2018\[Plan Accion Integrado ADRES Vigencia 2018 con Cuadro de Mando V6..xlsx]Plan de Accion 2018'!#REF!,Q158&lt;&gt;¨N/A¨))</xm:f>
            <x14:dxf>
              <fill>
                <patternFill>
                  <bgColor theme="1" tint="0.499984740745262"/>
                </patternFill>
              </fill>
            </x14:dxf>
          </x14:cfRule>
          <x14:cfRule type="expression" priority="5268" stopIfTrue="1" id="{B9D96603-D19B-4AA8-981B-1EB184192A3B}">
            <xm:f>AND(IF(Q158='F:\Users\norela.briceno\Documents\Plan de acción\Plan Accion 2018\[Plan Accion Integrado ADRES Vigencia 2018 con Cuadro de Mando V6..xlsx]Plan de Accion 2018'!#REF!,Q158&lt;&gt;"N/A"))</xm:f>
            <x14:dxf>
              <fill>
                <patternFill>
                  <bgColor rgb="FF00B050"/>
                </patternFill>
              </fill>
            </x14:dxf>
          </x14:cfRule>
          <x14:cfRule type="expression" priority="5269" stopIfTrue="1" id="{8A6973D4-A9AA-4644-9961-489136A5C887}">
            <xm:f>AND(IF(Q158&lt;'F:\Users\norela.briceno\Documents\Plan de acción\Plan Accion 2018\[Plan Accion Integrado ADRES Vigencia 2018 con Cuadro de Mando V6..xlsx]Plan de Accion 2018'!#REF!,Q158&lt;&gt;"N/A"))</xm:f>
            <x14:dxf>
              <fill>
                <patternFill>
                  <bgColor indexed="10"/>
                </patternFill>
              </fill>
            </x14:dxf>
          </x14:cfRule>
          <xm:sqref>Q158</xm:sqref>
        </x14:conditionalFormatting>
        <x14:conditionalFormatting xmlns:xm="http://schemas.microsoft.com/office/excel/2006/main">
          <x14:cfRule type="expression" priority="5198" id="{C34BEEA5-937E-4DEC-AAA9-61F35E12B6B9}">
            <xm:f>AND(IF(J216&gt;'F:\Users\norela.briceno\Documents\Plan de acción\Plan Accion 2018\[Plan Accion Integrado ADRES Vigencia 2018 con Cuadro de Mando V6..xlsx]Plan de Accion 2018'!#REF!,J216&lt;&gt;¨N/A¨))</xm:f>
            <x14:dxf>
              <fill>
                <patternFill>
                  <bgColor theme="1" tint="0.499984740745262"/>
                </patternFill>
              </fill>
            </x14:dxf>
          </x14:cfRule>
          <x14:cfRule type="expression" priority="5199" stopIfTrue="1" id="{0BA6E738-7506-4D8A-8F87-554B3E192A04}">
            <xm:f>AND(IF(J216='F:\Users\norela.briceno\Documents\Plan de acción\Plan Accion 2018\[Plan Accion Integrado ADRES Vigencia 2018 con Cuadro de Mando V6..xlsx]Plan de Accion 2018'!#REF!,J216&lt;&gt;"N/A"))</xm:f>
            <x14:dxf>
              <fill>
                <patternFill>
                  <bgColor rgb="FF00B050"/>
                </patternFill>
              </fill>
            </x14:dxf>
          </x14:cfRule>
          <x14:cfRule type="expression" priority="5200" stopIfTrue="1" id="{E9DE201D-6558-4B1C-BEA7-D107D48E0202}">
            <xm:f>AND(IF(J216&lt;'F:\Users\norela.briceno\Documents\Plan de acción\Plan Accion 2018\[Plan Accion Integrado ADRES Vigencia 2018 con Cuadro de Mando V6..xlsx]Plan de Accion 2018'!#REF!,J216&lt;&gt;"N/A"))</xm:f>
            <x14:dxf>
              <fill>
                <patternFill>
                  <bgColor indexed="10"/>
                </patternFill>
              </fill>
            </x14:dxf>
          </x14:cfRule>
          <xm:sqref>J216 Q216 X216</xm:sqref>
        </x14:conditionalFormatting>
        <x14:conditionalFormatting xmlns:xm="http://schemas.microsoft.com/office/excel/2006/main">
          <x14:cfRule type="expression" priority="5195" id="{77869E63-2413-4530-962F-65F62FDBD15E}">
            <xm:f>AND(IF(AE216&gt;'F:\Users\norela.briceno\Documents\Plan de acción\Plan Accion 2018\[Plan Accion Integrado ADRES Vigencia 2018 con Cuadro de Mando V6..xlsx]Plan de Accion 2018'!#REF!,AE216&lt;&gt;¨N/A¨))</xm:f>
            <x14:dxf>
              <fill>
                <patternFill>
                  <bgColor theme="1" tint="0.499984740745262"/>
                </patternFill>
              </fill>
            </x14:dxf>
          </x14:cfRule>
          <x14:cfRule type="expression" priority="5196" stopIfTrue="1" id="{FC6CC163-C3F8-4EB6-B256-BD599328F7F4}">
            <xm:f>AND(IF(AE216='F:\Users\norela.briceno\Documents\Plan de acción\Plan Accion 2018\[Plan Accion Integrado ADRES Vigencia 2018 con Cuadro de Mando V6..xlsx]Plan de Accion 2018'!#REF!,AE216&lt;&gt;"N/A"))</xm:f>
            <x14:dxf>
              <fill>
                <patternFill>
                  <bgColor rgb="FF00B050"/>
                </patternFill>
              </fill>
            </x14:dxf>
          </x14:cfRule>
          <x14:cfRule type="expression" priority="5197" stopIfTrue="1" id="{52F153CA-3007-4EF5-9C21-0D8AF7D8D9D1}">
            <xm:f>AND(IF(AE216&lt;'F:\Users\norela.briceno\Documents\Plan de acción\Plan Accion 2018\[Plan Accion Integrado ADRES Vigencia 2018 con Cuadro de Mando V6..xlsx]Plan de Accion 2018'!#REF!,AE216&lt;&gt;"N/A"))</xm:f>
            <x14:dxf>
              <fill>
                <patternFill>
                  <bgColor indexed="10"/>
                </patternFill>
              </fill>
            </x14:dxf>
          </x14:cfRule>
          <xm:sqref>AE216</xm:sqref>
        </x14:conditionalFormatting>
        <x14:conditionalFormatting xmlns:xm="http://schemas.microsoft.com/office/excel/2006/main">
          <x14:cfRule type="expression" priority="5054" id="{83A8B659-1A4E-42CF-8B0F-0244DA05A2C7}">
            <xm:f>AND(IF(J218&gt;'F:\Users\norela.briceno\Documents\Plan de acción\Plan Accion 2018\[Plan Accion Integrado ADRES Vigencia 2018 con Cuadro de Mando V6..xlsx]Plan de Accion 2018'!#REF!,J218&lt;&gt;¨N/A¨))</xm:f>
            <x14:dxf>
              <fill>
                <patternFill>
                  <bgColor theme="1" tint="0.499984740745262"/>
                </patternFill>
              </fill>
            </x14:dxf>
          </x14:cfRule>
          <x14:cfRule type="expression" priority="5055" stopIfTrue="1" id="{029266E3-CD95-4642-8231-B44DC3BE9F30}">
            <xm:f>AND(IF(J218='F:\Users\norela.briceno\Documents\Plan de acción\Plan Accion 2018\[Plan Accion Integrado ADRES Vigencia 2018 con Cuadro de Mando V6..xlsx]Plan de Accion 2018'!#REF!,J218&lt;&gt;"N/A"))</xm:f>
            <x14:dxf>
              <fill>
                <patternFill>
                  <bgColor rgb="FF00B050"/>
                </patternFill>
              </fill>
            </x14:dxf>
          </x14:cfRule>
          <x14:cfRule type="expression" priority="5056" stopIfTrue="1" id="{2981106E-9119-4E96-BE2F-386B69562CF6}">
            <xm:f>AND(IF(J218&lt;'F:\Users\norela.briceno\Documents\Plan de acción\Plan Accion 2018\[Plan Accion Integrado ADRES Vigencia 2018 con Cuadro de Mando V6..xlsx]Plan de Accion 2018'!#REF!,J218&lt;&gt;"N/A"))</xm:f>
            <x14:dxf>
              <fill>
                <patternFill>
                  <bgColor indexed="10"/>
                </patternFill>
              </fill>
            </x14:dxf>
          </x14:cfRule>
          <xm:sqref>J218</xm:sqref>
        </x14:conditionalFormatting>
        <x14:conditionalFormatting xmlns:xm="http://schemas.microsoft.com/office/excel/2006/main">
          <x14:cfRule type="expression" priority="5051" id="{C10D817A-5504-4927-A046-F47BCBB57D62}">
            <xm:f>AND(IF(Q218&gt;'F:\Users\norela.briceno\Documents\Plan de acción\Plan Accion 2018\[Plan Accion Integrado ADRES Vigencia 2018 con Cuadro de Mando V6..xlsx]Plan de Accion 2018'!#REF!,Q218&lt;&gt;¨N/A¨))</xm:f>
            <x14:dxf>
              <fill>
                <patternFill>
                  <bgColor theme="1" tint="0.499984740745262"/>
                </patternFill>
              </fill>
            </x14:dxf>
          </x14:cfRule>
          <x14:cfRule type="expression" priority="5052" stopIfTrue="1" id="{86FE6A8F-78C1-46C8-A4F1-D130ECDAA707}">
            <xm:f>AND(IF(Q218='F:\Users\norela.briceno\Documents\Plan de acción\Plan Accion 2018\[Plan Accion Integrado ADRES Vigencia 2018 con Cuadro de Mando V6..xlsx]Plan de Accion 2018'!#REF!,Q218&lt;&gt;"N/A"))</xm:f>
            <x14:dxf>
              <fill>
                <patternFill>
                  <bgColor rgb="FF00B050"/>
                </patternFill>
              </fill>
            </x14:dxf>
          </x14:cfRule>
          <x14:cfRule type="expression" priority="5053" stopIfTrue="1" id="{422C06F6-60C5-45ED-AA73-CE35359030F3}">
            <xm:f>AND(IF(Q218&lt;'F:\Users\norela.briceno\Documents\Plan de acción\Plan Accion 2018\[Plan Accion Integrado ADRES Vigencia 2018 con Cuadro de Mando V6..xlsx]Plan de Accion 2018'!#REF!,Q218&lt;&gt;"N/A"))</xm:f>
            <x14:dxf>
              <fill>
                <patternFill>
                  <bgColor indexed="10"/>
                </patternFill>
              </fill>
            </x14:dxf>
          </x14:cfRule>
          <xm:sqref>Q218</xm:sqref>
        </x14:conditionalFormatting>
        <x14:conditionalFormatting xmlns:xm="http://schemas.microsoft.com/office/excel/2006/main">
          <x14:cfRule type="expression" priority="5048" id="{8945044E-5B70-498A-91FB-BAD1FC2E7CC3}">
            <xm:f>AND(IF(X218&gt;'F:\Users\norela.briceno\Documents\Plan de acción\Plan Accion 2018\[Plan Accion Integrado ADRES Vigencia 2018 con Cuadro de Mando V6..xlsx]Plan de Accion 2018'!#REF!,X218&lt;&gt;¨N/A¨))</xm:f>
            <x14:dxf>
              <fill>
                <patternFill>
                  <bgColor theme="1" tint="0.499984740745262"/>
                </patternFill>
              </fill>
            </x14:dxf>
          </x14:cfRule>
          <x14:cfRule type="expression" priority="5049" stopIfTrue="1" id="{4B65AA45-25F5-4ECA-90D8-8456879FC782}">
            <xm:f>AND(IF(X218='F:\Users\norela.briceno\Documents\Plan de acción\Plan Accion 2018\[Plan Accion Integrado ADRES Vigencia 2018 con Cuadro de Mando V6..xlsx]Plan de Accion 2018'!#REF!,X218&lt;&gt;"N/A"))</xm:f>
            <x14:dxf>
              <fill>
                <patternFill>
                  <bgColor rgb="FF00B050"/>
                </patternFill>
              </fill>
            </x14:dxf>
          </x14:cfRule>
          <x14:cfRule type="expression" priority="5050" stopIfTrue="1" id="{224F094A-0269-447D-8798-2295BEBD7B38}">
            <xm:f>AND(IF(X218&lt;'F:\Users\norela.briceno\Documents\Plan de acción\Plan Accion 2018\[Plan Accion Integrado ADRES Vigencia 2018 con Cuadro de Mando V6..xlsx]Plan de Accion 2018'!#REF!,X218&lt;&gt;"N/A"))</xm:f>
            <x14:dxf>
              <fill>
                <patternFill>
                  <bgColor indexed="10"/>
                </patternFill>
              </fill>
            </x14:dxf>
          </x14:cfRule>
          <xm:sqref>X218</xm:sqref>
        </x14:conditionalFormatting>
        <x14:conditionalFormatting xmlns:xm="http://schemas.microsoft.com/office/excel/2006/main">
          <x14:cfRule type="expression" priority="5045" id="{332524AB-F5D3-4E3B-8017-C5D6D9439D6E}">
            <xm:f>AND(IF(AE218&gt;'F:\Users\norela.briceno\Documents\Plan de acción\Plan Accion 2018\[Plan Accion Integrado ADRES Vigencia 2018 con Cuadro de Mando V6..xlsx]Plan de Accion 2018'!#REF!,AE218&lt;&gt;¨N/A¨))</xm:f>
            <x14:dxf>
              <fill>
                <patternFill>
                  <bgColor theme="1" tint="0.499984740745262"/>
                </patternFill>
              </fill>
            </x14:dxf>
          </x14:cfRule>
          <x14:cfRule type="expression" priority="5046" stopIfTrue="1" id="{84ED7FAC-0230-427D-8C02-35BCF01FAD57}">
            <xm:f>AND(IF(AE218='F:\Users\norela.briceno\Documents\Plan de acción\Plan Accion 2018\[Plan Accion Integrado ADRES Vigencia 2018 con Cuadro de Mando V6..xlsx]Plan de Accion 2018'!#REF!,AE218&lt;&gt;"N/A"))</xm:f>
            <x14:dxf>
              <fill>
                <patternFill>
                  <bgColor rgb="FF00B050"/>
                </patternFill>
              </fill>
            </x14:dxf>
          </x14:cfRule>
          <x14:cfRule type="expression" priority="5047" stopIfTrue="1" id="{F563CDF4-C64F-4D59-B393-BAAC2E5CA4C0}">
            <xm:f>AND(IF(AE218&lt;'F:\Users\norela.briceno\Documents\Plan de acción\Plan Accion 2018\[Plan Accion Integrado ADRES Vigencia 2018 con Cuadro de Mando V6..xlsx]Plan de Accion 2018'!#REF!,AE218&lt;&gt;"N/A"))</xm:f>
            <x14:dxf>
              <fill>
                <patternFill>
                  <bgColor indexed="10"/>
                </patternFill>
              </fill>
            </x14:dxf>
          </x14:cfRule>
          <xm:sqref>AE218</xm:sqref>
        </x14:conditionalFormatting>
        <x14:conditionalFormatting xmlns:xm="http://schemas.microsoft.com/office/excel/2006/main">
          <x14:cfRule type="expression" priority="4997" id="{149B742A-24C4-43B2-8B53-F6D3C4FBB79E}">
            <xm:f>AND(IF(J219&gt;'F:\Users\norela.briceno\Documents\Plan de acción\Plan Accion 2018\[Plan Accion Integrado ADRES Vigencia 2018 con Cuadro de Mando V6..xlsx]Plan de Accion 2018'!#REF!,J219&lt;&gt;¨N/A¨))</xm:f>
            <x14:dxf>
              <fill>
                <patternFill>
                  <bgColor theme="1" tint="0.499984740745262"/>
                </patternFill>
              </fill>
            </x14:dxf>
          </x14:cfRule>
          <x14:cfRule type="expression" priority="4998" stopIfTrue="1" id="{47219E15-B7A1-4B00-A24F-135CD2BB46AB}">
            <xm:f>AND(IF(J219='F:\Users\norela.briceno\Documents\Plan de acción\Plan Accion 2018\[Plan Accion Integrado ADRES Vigencia 2018 con Cuadro de Mando V6..xlsx]Plan de Accion 2018'!#REF!,J219&lt;&gt;"N/A"))</xm:f>
            <x14:dxf>
              <fill>
                <patternFill>
                  <bgColor rgb="FF00B050"/>
                </patternFill>
              </fill>
            </x14:dxf>
          </x14:cfRule>
          <x14:cfRule type="expression" priority="4999" stopIfTrue="1" id="{B30DB269-C50E-42F4-81EE-A154E1BCC295}">
            <xm:f>AND(IF(J219&lt;'F:\Users\norela.briceno\Documents\Plan de acción\Plan Accion 2018\[Plan Accion Integrado ADRES Vigencia 2018 con Cuadro de Mando V6..xlsx]Plan de Accion 2018'!#REF!,J219&lt;&gt;"N/A"))</xm:f>
            <x14:dxf>
              <fill>
                <patternFill>
                  <bgColor indexed="10"/>
                </patternFill>
              </fill>
            </x14:dxf>
          </x14:cfRule>
          <xm:sqref>J219</xm:sqref>
        </x14:conditionalFormatting>
        <x14:conditionalFormatting xmlns:xm="http://schemas.microsoft.com/office/excel/2006/main">
          <x14:cfRule type="expression" priority="4994" id="{547A33DE-7BD5-4E7A-A668-873024494D63}">
            <xm:f>AND(IF(Q219&gt;'F:\Users\norela.briceno\Documents\Plan de acción\Plan Accion 2018\[Plan Accion Integrado ADRES Vigencia 2018 con Cuadro de Mando V6..xlsx]Plan de Accion 2018'!#REF!,Q219&lt;&gt;¨N/A¨))</xm:f>
            <x14:dxf>
              <fill>
                <patternFill>
                  <bgColor theme="1" tint="0.499984740745262"/>
                </patternFill>
              </fill>
            </x14:dxf>
          </x14:cfRule>
          <x14:cfRule type="expression" priority="4995" stopIfTrue="1" id="{AFFD421F-BCAD-4149-B73D-FF500986BA42}">
            <xm:f>AND(IF(Q219='F:\Users\norela.briceno\Documents\Plan de acción\Plan Accion 2018\[Plan Accion Integrado ADRES Vigencia 2018 con Cuadro de Mando V6..xlsx]Plan de Accion 2018'!#REF!,Q219&lt;&gt;"N/A"))</xm:f>
            <x14:dxf>
              <fill>
                <patternFill>
                  <bgColor rgb="FF00B050"/>
                </patternFill>
              </fill>
            </x14:dxf>
          </x14:cfRule>
          <x14:cfRule type="expression" priority="4996" stopIfTrue="1" id="{A8609158-53A4-4457-B64C-73C642D7966E}">
            <xm:f>AND(IF(Q219&lt;'F:\Users\norela.briceno\Documents\Plan de acción\Plan Accion 2018\[Plan Accion Integrado ADRES Vigencia 2018 con Cuadro de Mando V6..xlsx]Plan de Accion 2018'!#REF!,Q219&lt;&gt;"N/A"))</xm:f>
            <x14:dxf>
              <fill>
                <patternFill>
                  <bgColor indexed="10"/>
                </patternFill>
              </fill>
            </x14:dxf>
          </x14:cfRule>
          <xm:sqref>Q219</xm:sqref>
        </x14:conditionalFormatting>
        <x14:conditionalFormatting xmlns:xm="http://schemas.microsoft.com/office/excel/2006/main">
          <x14:cfRule type="expression" priority="4991" id="{830158AD-726B-4B2C-8C51-1D393FDF5B08}">
            <xm:f>AND(IF(X219&gt;'F:\Users\norela.briceno\Documents\Plan de acción\Plan Accion 2018\[Plan Accion Integrado ADRES Vigencia 2018 con Cuadro de Mando V6..xlsx]Plan de Accion 2018'!#REF!,X219&lt;&gt;¨N/A¨))</xm:f>
            <x14:dxf>
              <fill>
                <patternFill>
                  <bgColor theme="1" tint="0.499984740745262"/>
                </patternFill>
              </fill>
            </x14:dxf>
          </x14:cfRule>
          <x14:cfRule type="expression" priority="4992" stopIfTrue="1" id="{190FEC07-2924-480E-8134-5875A12761BF}">
            <xm:f>AND(IF(X219='F:\Users\norela.briceno\Documents\Plan de acción\Plan Accion 2018\[Plan Accion Integrado ADRES Vigencia 2018 con Cuadro de Mando V6..xlsx]Plan de Accion 2018'!#REF!,X219&lt;&gt;"N/A"))</xm:f>
            <x14:dxf>
              <fill>
                <patternFill>
                  <bgColor rgb="FF00B050"/>
                </patternFill>
              </fill>
            </x14:dxf>
          </x14:cfRule>
          <x14:cfRule type="expression" priority="4993" stopIfTrue="1" id="{95CC606B-8E5F-4885-8098-9AC556461FAC}">
            <xm:f>AND(IF(X219&lt;'F:\Users\norela.briceno\Documents\Plan de acción\Plan Accion 2018\[Plan Accion Integrado ADRES Vigencia 2018 con Cuadro de Mando V6..xlsx]Plan de Accion 2018'!#REF!,X219&lt;&gt;"N/A"))</xm:f>
            <x14:dxf>
              <fill>
                <patternFill>
                  <bgColor indexed="10"/>
                </patternFill>
              </fill>
            </x14:dxf>
          </x14:cfRule>
          <xm:sqref>X219</xm:sqref>
        </x14:conditionalFormatting>
        <x14:conditionalFormatting xmlns:xm="http://schemas.microsoft.com/office/excel/2006/main">
          <x14:cfRule type="expression" priority="4988" id="{B9DB54FB-8EF3-4E84-B51A-E9ABE745EE1E}">
            <xm:f>AND(IF(AE219&gt;'F:\Users\norela.briceno\Documents\Plan de acción\Plan Accion 2018\[Plan Accion Integrado ADRES Vigencia 2018 con Cuadro de Mando V6..xlsx]Plan de Accion 2018'!#REF!,AE219&lt;&gt;¨N/A¨))</xm:f>
            <x14:dxf>
              <fill>
                <patternFill>
                  <bgColor theme="1" tint="0.499984740745262"/>
                </patternFill>
              </fill>
            </x14:dxf>
          </x14:cfRule>
          <x14:cfRule type="expression" priority="4989" stopIfTrue="1" id="{CC3A0616-EFD1-4870-968C-D5D0D1DCFC54}">
            <xm:f>AND(IF(AE219='F:\Users\norela.briceno\Documents\Plan de acción\Plan Accion 2018\[Plan Accion Integrado ADRES Vigencia 2018 con Cuadro de Mando V6..xlsx]Plan de Accion 2018'!#REF!,AE219&lt;&gt;"N/A"))</xm:f>
            <x14:dxf>
              <fill>
                <patternFill>
                  <bgColor rgb="FF00B050"/>
                </patternFill>
              </fill>
            </x14:dxf>
          </x14:cfRule>
          <x14:cfRule type="expression" priority="4990" stopIfTrue="1" id="{69D912B8-B141-4594-8F31-C5C4D6FFBFE6}">
            <xm:f>AND(IF(AE219&lt;'F:\Users\norela.briceno\Documents\Plan de acción\Plan Accion 2018\[Plan Accion Integrado ADRES Vigencia 2018 con Cuadro de Mando V6..xlsx]Plan de Accion 2018'!#REF!,AE219&lt;&gt;"N/A"))</xm:f>
            <x14:dxf>
              <fill>
                <patternFill>
                  <bgColor indexed="10"/>
                </patternFill>
              </fill>
            </x14:dxf>
          </x14:cfRule>
          <xm:sqref>AE219</xm:sqref>
        </x14:conditionalFormatting>
        <x14:conditionalFormatting xmlns:xm="http://schemas.microsoft.com/office/excel/2006/main">
          <x14:cfRule type="expression" priority="4811" id="{566F99DB-BC11-4E68-B845-47CC81715891}">
            <xm:f>AND(IF(J222&gt;'F:\Users\norela.briceno\Documents\Plan de acción\Plan Accion 2018\[Plan Accion Integrado ADRES Vigencia 2018 con Cuadro de Mando V6..xlsx]Plan de Accion 2018'!#REF!,J222&lt;&gt;¨N/A¨))</xm:f>
            <x14:dxf>
              <fill>
                <patternFill>
                  <bgColor theme="1" tint="0.499984740745262"/>
                </patternFill>
              </fill>
            </x14:dxf>
          </x14:cfRule>
          <x14:cfRule type="expression" priority="4812" stopIfTrue="1" id="{C45D2435-F3F3-4BDC-A912-52BFF8A52C4D}">
            <xm:f>AND(IF(J222='F:\Users\norela.briceno\Documents\Plan de acción\Plan Accion 2018\[Plan Accion Integrado ADRES Vigencia 2018 con Cuadro de Mando V6..xlsx]Plan de Accion 2018'!#REF!,J222&lt;&gt;"N/A"))</xm:f>
            <x14:dxf>
              <fill>
                <patternFill>
                  <bgColor rgb="FF00B050"/>
                </patternFill>
              </fill>
            </x14:dxf>
          </x14:cfRule>
          <x14:cfRule type="expression" priority="4813" stopIfTrue="1" id="{CE6C320C-D118-4046-8BA4-757036C7D278}">
            <xm:f>AND(IF(J222&lt;'F:\Users\norela.briceno\Documents\Plan de acción\Plan Accion 2018\[Plan Accion Integrado ADRES Vigencia 2018 con Cuadro de Mando V6..xlsx]Plan de Accion 2018'!#REF!,J222&lt;&gt;"N/A"))</xm:f>
            <x14:dxf>
              <fill>
                <patternFill>
                  <bgColor indexed="10"/>
                </patternFill>
              </fill>
            </x14:dxf>
          </x14:cfRule>
          <xm:sqref>J222:J225</xm:sqref>
        </x14:conditionalFormatting>
        <x14:conditionalFormatting xmlns:xm="http://schemas.microsoft.com/office/excel/2006/main">
          <x14:cfRule type="expression" priority="4808" id="{2FA8E241-141C-41EF-803D-4CA21DE16142}">
            <xm:f>AND(IF(Q222&gt;'F:\Users\norela.briceno\Documents\Plan de acción\Plan Accion 2018\[Plan Accion Integrado ADRES Vigencia 2018 con Cuadro de Mando V6..xlsx]Plan de Accion 2018'!#REF!,Q222&lt;&gt;¨N/A¨))</xm:f>
            <x14:dxf>
              <fill>
                <patternFill>
                  <bgColor theme="1" tint="0.499984740745262"/>
                </patternFill>
              </fill>
            </x14:dxf>
          </x14:cfRule>
          <x14:cfRule type="expression" priority="4809" stopIfTrue="1" id="{57BA5BED-3C78-4A09-AF05-98A8A0F64CE2}">
            <xm:f>AND(IF(Q222='F:\Users\norela.briceno\Documents\Plan de acción\Plan Accion 2018\[Plan Accion Integrado ADRES Vigencia 2018 con Cuadro de Mando V6..xlsx]Plan de Accion 2018'!#REF!,Q222&lt;&gt;"N/A"))</xm:f>
            <x14:dxf>
              <fill>
                <patternFill>
                  <bgColor rgb="FF00B050"/>
                </patternFill>
              </fill>
            </x14:dxf>
          </x14:cfRule>
          <x14:cfRule type="expression" priority="4810" stopIfTrue="1" id="{125416A4-E1C7-49CA-9574-541134EF2EFD}">
            <xm:f>AND(IF(Q222&lt;'F:\Users\norela.briceno\Documents\Plan de acción\Plan Accion 2018\[Plan Accion Integrado ADRES Vigencia 2018 con Cuadro de Mando V6..xlsx]Plan de Accion 2018'!#REF!,Q222&lt;&gt;"N/A"))</xm:f>
            <x14:dxf>
              <fill>
                <patternFill>
                  <bgColor indexed="10"/>
                </patternFill>
              </fill>
            </x14:dxf>
          </x14:cfRule>
          <xm:sqref>Q222:Q225</xm:sqref>
        </x14:conditionalFormatting>
        <x14:conditionalFormatting xmlns:xm="http://schemas.microsoft.com/office/excel/2006/main">
          <x14:cfRule type="expression" priority="4805" id="{8F3FFA04-725B-4452-A223-345D4F669B9C}">
            <xm:f>AND(IF(X223&gt;'F:\Users\norela.briceno\Documents\Plan de acción\Plan Accion 2018\[Plan Accion Integrado ADRES Vigencia 2018 con Cuadro de Mando V6..xlsx]Plan de Accion 2018'!#REF!,X223&lt;&gt;¨N/A¨))</xm:f>
            <x14:dxf>
              <fill>
                <patternFill>
                  <bgColor theme="1" tint="0.499984740745262"/>
                </patternFill>
              </fill>
            </x14:dxf>
          </x14:cfRule>
          <x14:cfRule type="expression" priority="4806" stopIfTrue="1" id="{51B883A6-3066-4498-9740-10DA7CE9E01E}">
            <xm:f>AND(IF(X223='F:\Users\norela.briceno\Documents\Plan de acción\Plan Accion 2018\[Plan Accion Integrado ADRES Vigencia 2018 con Cuadro de Mando V6..xlsx]Plan de Accion 2018'!#REF!,X223&lt;&gt;"N/A"))</xm:f>
            <x14:dxf>
              <fill>
                <patternFill>
                  <bgColor rgb="FF00B050"/>
                </patternFill>
              </fill>
            </x14:dxf>
          </x14:cfRule>
          <x14:cfRule type="expression" priority="4807" stopIfTrue="1" id="{C06BDC18-C773-46E2-A257-6582319B518A}">
            <xm:f>AND(IF(X223&lt;'F:\Users\norela.briceno\Documents\Plan de acción\Plan Accion 2018\[Plan Accion Integrado ADRES Vigencia 2018 con Cuadro de Mando V6..xlsx]Plan de Accion 2018'!#REF!,X223&lt;&gt;"N/A"))</xm:f>
            <x14:dxf>
              <fill>
                <patternFill>
                  <bgColor indexed="10"/>
                </patternFill>
              </fill>
            </x14:dxf>
          </x14:cfRule>
          <xm:sqref>X223:X225</xm:sqref>
        </x14:conditionalFormatting>
        <x14:conditionalFormatting xmlns:xm="http://schemas.microsoft.com/office/excel/2006/main">
          <x14:cfRule type="expression" priority="4802" id="{B327F576-14ED-4F9F-90AB-4B840C20D134}">
            <xm:f>AND(IF(AE223&gt;'F:\Users\norela.briceno\Documents\Plan de acción\Plan Accion 2018\[Plan Accion Integrado ADRES Vigencia 2018 con Cuadro de Mando V6..xlsx]Plan de Accion 2018'!#REF!,AE223&lt;&gt;¨N/A¨))</xm:f>
            <x14:dxf>
              <fill>
                <patternFill>
                  <bgColor theme="1" tint="0.499984740745262"/>
                </patternFill>
              </fill>
            </x14:dxf>
          </x14:cfRule>
          <x14:cfRule type="expression" priority="4803" stopIfTrue="1" id="{0DBF6F7C-6440-4D9E-82CF-2D90A744557E}">
            <xm:f>AND(IF(AE223='F:\Users\norela.briceno\Documents\Plan de acción\Plan Accion 2018\[Plan Accion Integrado ADRES Vigencia 2018 con Cuadro de Mando V6..xlsx]Plan de Accion 2018'!#REF!,AE223&lt;&gt;"N/A"))</xm:f>
            <x14:dxf>
              <fill>
                <patternFill>
                  <bgColor rgb="FF00B050"/>
                </patternFill>
              </fill>
            </x14:dxf>
          </x14:cfRule>
          <x14:cfRule type="expression" priority="4804" stopIfTrue="1" id="{28302D0A-8CAD-4566-97DC-75606E8B540B}">
            <xm:f>AND(IF(AE223&lt;'F:\Users\norela.briceno\Documents\Plan de acción\Plan Accion 2018\[Plan Accion Integrado ADRES Vigencia 2018 con Cuadro de Mando V6..xlsx]Plan de Accion 2018'!#REF!,AE223&lt;&gt;"N/A"))</xm:f>
            <x14:dxf>
              <fill>
                <patternFill>
                  <bgColor indexed="10"/>
                </patternFill>
              </fill>
            </x14:dxf>
          </x14:cfRule>
          <xm:sqref>AE223:AE225</xm:sqref>
        </x14:conditionalFormatting>
        <x14:conditionalFormatting xmlns:xm="http://schemas.microsoft.com/office/excel/2006/main">
          <x14:cfRule type="expression" priority="4754" id="{FD8621CA-60B1-412F-9E7E-F1010AEF4986}">
            <xm:f>AND(IF(J226&gt;'F:\Users\norela.briceno\Documents\Plan de acción\Plan Accion 2018\[Plan Accion Integrado ADRES Vigencia 2018 con Cuadro de Mando V6..xlsx]Plan de Accion 2018'!#REF!,J226&lt;&gt;¨N/A¨))</xm:f>
            <x14:dxf>
              <fill>
                <patternFill>
                  <bgColor theme="1" tint="0.499984740745262"/>
                </patternFill>
              </fill>
            </x14:dxf>
          </x14:cfRule>
          <x14:cfRule type="expression" priority="4755" stopIfTrue="1" id="{0E217C7E-7201-4E24-9479-DB1F3169CC17}">
            <xm:f>AND(IF(J226='F:\Users\norela.briceno\Documents\Plan de acción\Plan Accion 2018\[Plan Accion Integrado ADRES Vigencia 2018 con Cuadro de Mando V6..xlsx]Plan de Accion 2018'!#REF!,J226&lt;&gt;"N/A"))</xm:f>
            <x14:dxf>
              <fill>
                <patternFill>
                  <bgColor rgb="FF00B050"/>
                </patternFill>
              </fill>
            </x14:dxf>
          </x14:cfRule>
          <x14:cfRule type="expression" priority="4756" stopIfTrue="1" id="{1EBD231B-76A8-4C9A-9B29-5460E6208589}">
            <xm:f>AND(IF(J226&lt;'F:\Users\norela.briceno\Documents\Plan de acción\Plan Accion 2018\[Plan Accion Integrado ADRES Vigencia 2018 con Cuadro de Mando V6..xlsx]Plan de Accion 2018'!#REF!,J226&lt;&gt;"N/A"))</xm:f>
            <x14:dxf>
              <fill>
                <patternFill>
                  <bgColor indexed="10"/>
                </patternFill>
              </fill>
            </x14:dxf>
          </x14:cfRule>
          <xm:sqref>J226 J228</xm:sqref>
        </x14:conditionalFormatting>
        <x14:conditionalFormatting xmlns:xm="http://schemas.microsoft.com/office/excel/2006/main">
          <x14:cfRule type="expression" priority="4751" id="{F1CE9EF2-E0C6-4203-BFCC-A32A20B928AE}">
            <xm:f>AND(IF(Q226&gt;'F:\Users\norela.briceno\Documents\Plan de acción\Plan Accion 2018\[Plan Accion Integrado ADRES Vigencia 2018 con Cuadro de Mando V6..xlsx]Plan de Accion 2018'!#REF!,Q226&lt;&gt;¨N/A¨))</xm:f>
            <x14:dxf>
              <fill>
                <patternFill>
                  <bgColor theme="1" tint="0.499984740745262"/>
                </patternFill>
              </fill>
            </x14:dxf>
          </x14:cfRule>
          <x14:cfRule type="expression" priority="4752" stopIfTrue="1" id="{2A466121-10E2-4CA1-8D49-DFF828D74955}">
            <xm:f>AND(IF(Q226='F:\Users\norela.briceno\Documents\Plan de acción\Plan Accion 2018\[Plan Accion Integrado ADRES Vigencia 2018 con Cuadro de Mando V6..xlsx]Plan de Accion 2018'!#REF!,Q226&lt;&gt;"N/A"))</xm:f>
            <x14:dxf>
              <fill>
                <patternFill>
                  <bgColor rgb="FF00B050"/>
                </patternFill>
              </fill>
            </x14:dxf>
          </x14:cfRule>
          <x14:cfRule type="expression" priority="4753" stopIfTrue="1" id="{ECEBD2D1-8E99-43C2-AEE5-567E2F58475F}">
            <xm:f>AND(IF(Q226&lt;'F:\Users\norela.briceno\Documents\Plan de acción\Plan Accion 2018\[Plan Accion Integrado ADRES Vigencia 2018 con Cuadro de Mando V6..xlsx]Plan de Accion 2018'!#REF!,Q226&lt;&gt;"N/A"))</xm:f>
            <x14:dxf>
              <fill>
                <patternFill>
                  <bgColor indexed="10"/>
                </patternFill>
              </fill>
            </x14:dxf>
          </x14:cfRule>
          <xm:sqref>Q226 Q228</xm:sqref>
        </x14:conditionalFormatting>
        <x14:conditionalFormatting xmlns:xm="http://schemas.microsoft.com/office/excel/2006/main">
          <x14:cfRule type="expression" priority="4748" id="{D871D231-F5E0-48F2-86B8-D0FBACC5D894}">
            <xm:f>AND(IF(X226&gt;'F:\Users\norela.briceno\Documents\Plan de acción\Plan Accion 2018\[Plan Accion Integrado ADRES Vigencia 2018 con Cuadro de Mando V6..xlsx]Plan de Accion 2018'!#REF!,X226&lt;&gt;¨N/A¨))</xm:f>
            <x14:dxf>
              <fill>
                <patternFill>
                  <bgColor theme="1" tint="0.499984740745262"/>
                </patternFill>
              </fill>
            </x14:dxf>
          </x14:cfRule>
          <x14:cfRule type="expression" priority="4749" stopIfTrue="1" id="{EC2772E2-358C-4CC4-B9F5-986C86796C5A}">
            <xm:f>AND(IF(X226='F:\Users\norela.briceno\Documents\Plan de acción\Plan Accion 2018\[Plan Accion Integrado ADRES Vigencia 2018 con Cuadro de Mando V6..xlsx]Plan de Accion 2018'!#REF!,X226&lt;&gt;"N/A"))</xm:f>
            <x14:dxf>
              <fill>
                <patternFill>
                  <bgColor rgb="FF00B050"/>
                </patternFill>
              </fill>
            </x14:dxf>
          </x14:cfRule>
          <x14:cfRule type="expression" priority="4750" stopIfTrue="1" id="{38FD9C06-8159-4037-B08B-2FE418AE24AA}">
            <xm:f>AND(IF(X226&lt;'F:\Users\norela.briceno\Documents\Plan de acción\Plan Accion 2018\[Plan Accion Integrado ADRES Vigencia 2018 con Cuadro de Mando V6..xlsx]Plan de Accion 2018'!#REF!,X226&lt;&gt;"N/A"))</xm:f>
            <x14:dxf>
              <fill>
                <patternFill>
                  <bgColor indexed="10"/>
                </patternFill>
              </fill>
            </x14:dxf>
          </x14:cfRule>
          <xm:sqref>X226 X228</xm:sqref>
        </x14:conditionalFormatting>
        <x14:conditionalFormatting xmlns:xm="http://schemas.microsoft.com/office/excel/2006/main">
          <x14:cfRule type="expression" priority="4745" id="{E4421963-20A7-4475-B5AD-B7BFBA46C4E4}">
            <xm:f>AND(IF(AE226&gt;'F:\Users\norela.briceno\Documents\Plan de acción\Plan Accion 2018\[Plan Accion Integrado ADRES Vigencia 2018 con Cuadro de Mando V6..xlsx]Plan de Accion 2018'!#REF!,AE226&lt;&gt;¨N/A¨))</xm:f>
            <x14:dxf>
              <fill>
                <patternFill>
                  <bgColor theme="1" tint="0.499984740745262"/>
                </patternFill>
              </fill>
            </x14:dxf>
          </x14:cfRule>
          <x14:cfRule type="expression" priority="4746" stopIfTrue="1" id="{879A45C0-2E03-4565-B94F-AADBEB88F302}">
            <xm:f>AND(IF(AE226='F:\Users\norela.briceno\Documents\Plan de acción\Plan Accion 2018\[Plan Accion Integrado ADRES Vigencia 2018 con Cuadro de Mando V6..xlsx]Plan de Accion 2018'!#REF!,AE226&lt;&gt;"N/A"))</xm:f>
            <x14:dxf>
              <fill>
                <patternFill>
                  <bgColor rgb="FF00B050"/>
                </patternFill>
              </fill>
            </x14:dxf>
          </x14:cfRule>
          <x14:cfRule type="expression" priority="4747" stopIfTrue="1" id="{99207D8B-FC1C-430B-9449-EA0203E59391}">
            <xm:f>AND(IF(AE226&lt;'F:\Users\norela.briceno\Documents\Plan de acción\Plan Accion 2018\[Plan Accion Integrado ADRES Vigencia 2018 con Cuadro de Mando V6..xlsx]Plan de Accion 2018'!#REF!,AE226&lt;&gt;"N/A"))</xm:f>
            <x14:dxf>
              <fill>
                <patternFill>
                  <bgColor indexed="10"/>
                </patternFill>
              </fill>
            </x14:dxf>
          </x14:cfRule>
          <xm:sqref>AE226 AE228</xm:sqref>
        </x14:conditionalFormatting>
        <x14:conditionalFormatting xmlns:xm="http://schemas.microsoft.com/office/excel/2006/main">
          <x14:cfRule type="expression" priority="4697" id="{9B9D58FC-EBA2-4EDC-A6E5-8A28B7A108C9}">
            <xm:f>AND(IF(J229&gt;'F:\Users\norela.briceno\Documents\Plan de acción\Plan Accion 2018\[Plan Accion Integrado ADRES Vigencia 2018 con Cuadro de Mando V6..xlsx]Plan de Accion 2018'!#REF!,J229&lt;&gt;¨N/A¨))</xm:f>
            <x14:dxf>
              <fill>
                <patternFill>
                  <bgColor theme="1" tint="0.499984740745262"/>
                </patternFill>
              </fill>
            </x14:dxf>
          </x14:cfRule>
          <x14:cfRule type="expression" priority="4698" stopIfTrue="1" id="{E7F49D78-4567-4867-9101-0E8183BF8BD7}">
            <xm:f>AND(IF(J229='F:\Users\norela.briceno\Documents\Plan de acción\Plan Accion 2018\[Plan Accion Integrado ADRES Vigencia 2018 con Cuadro de Mando V6..xlsx]Plan de Accion 2018'!#REF!,J229&lt;&gt;"N/A"))</xm:f>
            <x14:dxf>
              <fill>
                <patternFill>
                  <bgColor rgb="FF00B050"/>
                </patternFill>
              </fill>
            </x14:dxf>
          </x14:cfRule>
          <x14:cfRule type="expression" priority="4699" stopIfTrue="1" id="{5826E8FB-CEC1-45B4-8418-990019932743}">
            <xm:f>AND(IF(J229&lt;'F:\Users\norela.briceno\Documents\Plan de acción\Plan Accion 2018\[Plan Accion Integrado ADRES Vigencia 2018 con Cuadro de Mando V6..xlsx]Plan de Accion 2018'!#REF!,J229&lt;&gt;"N/A"))</xm:f>
            <x14:dxf>
              <fill>
                <patternFill>
                  <bgColor indexed="10"/>
                </patternFill>
              </fill>
            </x14:dxf>
          </x14:cfRule>
          <xm:sqref>J229:J230</xm:sqref>
        </x14:conditionalFormatting>
        <x14:conditionalFormatting xmlns:xm="http://schemas.microsoft.com/office/excel/2006/main">
          <x14:cfRule type="expression" priority="4694" id="{A3C50CE2-DC03-4049-B4B3-EF887960B8E9}">
            <xm:f>AND(IF(Q229&gt;'F:\Users\norela.briceno\Documents\Plan de acción\Plan Accion 2018\[Plan Accion Integrado ADRES Vigencia 2018 con Cuadro de Mando V6..xlsx]Plan de Accion 2018'!#REF!,Q229&lt;&gt;¨N/A¨))</xm:f>
            <x14:dxf>
              <fill>
                <patternFill>
                  <bgColor theme="1" tint="0.499984740745262"/>
                </patternFill>
              </fill>
            </x14:dxf>
          </x14:cfRule>
          <x14:cfRule type="expression" priority="4695" stopIfTrue="1" id="{B5E3045A-F20A-4DC9-9679-EF1A15323A4A}">
            <xm:f>AND(IF(Q229='F:\Users\norela.briceno\Documents\Plan de acción\Plan Accion 2018\[Plan Accion Integrado ADRES Vigencia 2018 con Cuadro de Mando V6..xlsx]Plan de Accion 2018'!#REF!,Q229&lt;&gt;"N/A"))</xm:f>
            <x14:dxf>
              <fill>
                <patternFill>
                  <bgColor rgb="FF00B050"/>
                </patternFill>
              </fill>
            </x14:dxf>
          </x14:cfRule>
          <x14:cfRule type="expression" priority="4696" stopIfTrue="1" id="{248F0684-7511-4FC3-9943-65F2538B0B7A}">
            <xm:f>AND(IF(Q229&lt;'F:\Users\norela.briceno\Documents\Plan de acción\Plan Accion 2018\[Plan Accion Integrado ADRES Vigencia 2018 con Cuadro de Mando V6..xlsx]Plan de Accion 2018'!#REF!,Q229&lt;&gt;"N/A"))</xm:f>
            <x14:dxf>
              <fill>
                <patternFill>
                  <bgColor indexed="10"/>
                </patternFill>
              </fill>
            </x14:dxf>
          </x14:cfRule>
          <xm:sqref>Q229:Q230</xm:sqref>
        </x14:conditionalFormatting>
        <x14:conditionalFormatting xmlns:xm="http://schemas.microsoft.com/office/excel/2006/main">
          <x14:cfRule type="expression" priority="4691" id="{B6707C46-F141-496B-8468-48989BB1E990}">
            <xm:f>AND(IF(X229&gt;'F:\Users\norela.briceno\Documents\Plan de acción\Plan Accion 2018\[Plan Accion Integrado ADRES Vigencia 2018 con Cuadro de Mando V6..xlsx]Plan de Accion 2018'!#REF!,X229&lt;&gt;¨N/A¨))</xm:f>
            <x14:dxf>
              <fill>
                <patternFill>
                  <bgColor theme="1" tint="0.499984740745262"/>
                </patternFill>
              </fill>
            </x14:dxf>
          </x14:cfRule>
          <x14:cfRule type="expression" priority="4692" stopIfTrue="1" id="{503917E6-9B32-4580-8A74-7BE8302AD14B}">
            <xm:f>AND(IF(X229='F:\Users\norela.briceno\Documents\Plan de acción\Plan Accion 2018\[Plan Accion Integrado ADRES Vigencia 2018 con Cuadro de Mando V6..xlsx]Plan de Accion 2018'!#REF!,X229&lt;&gt;"N/A"))</xm:f>
            <x14:dxf>
              <fill>
                <patternFill>
                  <bgColor rgb="FF00B050"/>
                </patternFill>
              </fill>
            </x14:dxf>
          </x14:cfRule>
          <x14:cfRule type="expression" priority="4693" stopIfTrue="1" id="{6EA0A63D-2D0E-476A-BB74-5B9A38C73EF8}">
            <xm:f>AND(IF(X229&lt;'F:\Users\norela.briceno\Documents\Plan de acción\Plan Accion 2018\[Plan Accion Integrado ADRES Vigencia 2018 con Cuadro de Mando V6..xlsx]Plan de Accion 2018'!#REF!,X229&lt;&gt;"N/A"))</xm:f>
            <x14:dxf>
              <fill>
                <patternFill>
                  <bgColor indexed="10"/>
                </patternFill>
              </fill>
            </x14:dxf>
          </x14:cfRule>
          <xm:sqref>X229:X230</xm:sqref>
        </x14:conditionalFormatting>
        <x14:conditionalFormatting xmlns:xm="http://schemas.microsoft.com/office/excel/2006/main">
          <x14:cfRule type="expression" priority="4688" id="{84DC8D6B-0515-44CB-B5E6-7BD5B727D233}">
            <xm:f>AND(IF(AE229&gt;'F:\Users\norela.briceno\Documents\Plan de acción\Plan Accion 2018\[Plan Accion Integrado ADRES Vigencia 2018 con Cuadro de Mando V6..xlsx]Plan de Accion 2018'!#REF!,AE229&lt;&gt;¨N/A¨))</xm:f>
            <x14:dxf>
              <fill>
                <patternFill>
                  <bgColor theme="1" tint="0.499984740745262"/>
                </patternFill>
              </fill>
            </x14:dxf>
          </x14:cfRule>
          <x14:cfRule type="expression" priority="4689" stopIfTrue="1" id="{20907293-7EA7-4218-BE14-6E8C0E69EFC7}">
            <xm:f>AND(IF(AE229='F:\Users\norela.briceno\Documents\Plan de acción\Plan Accion 2018\[Plan Accion Integrado ADRES Vigencia 2018 con Cuadro de Mando V6..xlsx]Plan de Accion 2018'!#REF!,AE229&lt;&gt;"N/A"))</xm:f>
            <x14:dxf>
              <fill>
                <patternFill>
                  <bgColor rgb="FF00B050"/>
                </patternFill>
              </fill>
            </x14:dxf>
          </x14:cfRule>
          <x14:cfRule type="expression" priority="4690" stopIfTrue="1" id="{22E8B20F-C1BD-4892-92C7-BDD401F5974C}">
            <xm:f>AND(IF(AE229&lt;'F:\Users\norela.briceno\Documents\Plan de acción\Plan Accion 2018\[Plan Accion Integrado ADRES Vigencia 2018 con Cuadro de Mando V6..xlsx]Plan de Accion 2018'!#REF!,AE229&lt;&gt;"N/A"))</xm:f>
            <x14:dxf>
              <fill>
                <patternFill>
                  <bgColor indexed="10"/>
                </patternFill>
              </fill>
            </x14:dxf>
          </x14:cfRule>
          <xm:sqref>AE229:AE230</xm:sqref>
        </x14:conditionalFormatting>
        <x14:conditionalFormatting xmlns:xm="http://schemas.microsoft.com/office/excel/2006/main">
          <x14:cfRule type="expression" priority="4585" id="{A82E03F4-F9A3-4EE8-A3E5-756593B4833A}">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4586" stopIfTrue="1" id="{E645F696-12C5-4B21-92FA-CD30556E942C}">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4587" stopIfTrue="1" id="{A29856FF-D9E1-467A-BB41-435A77E4ECD7}">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4582" id="{EC79C27C-2A1D-43D6-A407-E7BCF036F8A6}">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4583" stopIfTrue="1" id="{633E00F0-1E32-4B60-AD64-C0C6FE1F4F46}">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4584" stopIfTrue="1" id="{EA8F5EA4-A373-431E-AC1B-D68794561657}">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4579" id="{4C97690C-6301-4F0B-A7B0-2D23AD910148}">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4580" stopIfTrue="1" id="{0CB558AA-F197-4026-A15E-AE83F695CAA8}">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4581" stopIfTrue="1" id="{A0D9DC49-19D7-4F27-9537-DB358F3AB5D4}">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4576" id="{054F2FA6-480D-44E9-9CD6-14F15E040314}">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4577" stopIfTrue="1" id="{6F85D7E4-AF92-4021-8917-0FFF2B259B5E}">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4578" stopIfTrue="1" id="{BB2D0FA8-645F-4A5C-88F3-03200C139C95}">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4493" id="{EC80BF5B-3BF4-4144-BB9F-AACA03F6B8E3}">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494" stopIfTrue="1" id="{B919AE6E-B88F-4270-BDA0-2591D25E395A}">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495" stopIfTrue="1" id="{BFC03F3E-6138-4A3F-86E3-BBC9DE8E7572}">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490" id="{A7696E25-37D4-4D99-9351-670E143CA1E5}">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4491" stopIfTrue="1" id="{FD4223FB-5D0B-4C83-8C75-836613BAD41D}">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4492" stopIfTrue="1" id="{DD968B25-1713-473F-A7BF-880F525E143B}">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4487" id="{49E2A11F-623B-445E-A62B-3C83AF5DEC81}">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4488" stopIfTrue="1" id="{69F5DBAF-7050-4E0D-9605-982B81997CB5}">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4489" stopIfTrue="1" id="{4EA6398D-CC9F-4887-8737-40CF0B149910}">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4484" id="{2A516708-44A2-4784-80D4-3C316B967A62}">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4485" stopIfTrue="1" id="{ECD29F6A-1FC7-4542-9FB6-9FB74A194E7F}">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4486" stopIfTrue="1" id="{5735A86E-16D9-4292-A51B-54966E63B7BB}">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4451" id="{AE1D980C-DB5A-4979-A035-4C0DEC16A25C}">
            <xm:f>AND(IF(J192&gt;'F:\Users\norela.briceno\Documents\Plan de acción\Plan Accion 2018\[Plan Accion Integrado ADRES Vigencia 2018 con Cuadro de Mando V6..xlsx]Plan de Accion 2018'!#REF!,J192&lt;&gt;¨N/A¨))</xm:f>
            <x14:dxf>
              <fill>
                <patternFill>
                  <bgColor theme="1" tint="0.499984740745262"/>
                </patternFill>
              </fill>
            </x14:dxf>
          </x14:cfRule>
          <x14:cfRule type="expression" priority="4452" stopIfTrue="1" id="{D3054ADA-B522-4AE0-8198-A453842C2717}">
            <xm:f>AND(IF(J192='F:\Users\norela.briceno\Documents\Plan de acción\Plan Accion 2018\[Plan Accion Integrado ADRES Vigencia 2018 con Cuadro de Mando V6..xlsx]Plan de Accion 2018'!#REF!,J192&lt;&gt;"N/A"))</xm:f>
            <x14:dxf>
              <fill>
                <patternFill>
                  <bgColor rgb="FF00B050"/>
                </patternFill>
              </fill>
            </x14:dxf>
          </x14:cfRule>
          <x14:cfRule type="expression" priority="4453" stopIfTrue="1" id="{58DC047A-555E-4C23-9AC4-A9BEFA5AB16A}">
            <xm:f>AND(IF(J192&lt;'F:\Users\norela.briceno\Documents\Plan de acción\Plan Accion 2018\[Plan Accion Integrado ADRES Vigencia 2018 con Cuadro de Mando V6..xlsx]Plan de Accion 2018'!#REF!,J192&lt;&gt;"N/A"))</xm:f>
            <x14:dxf>
              <fill>
                <patternFill>
                  <bgColor indexed="10"/>
                </patternFill>
              </fill>
            </x14:dxf>
          </x14:cfRule>
          <xm:sqref>J192 Q192 X192 AE192</xm:sqref>
        </x14:conditionalFormatting>
        <x14:conditionalFormatting xmlns:xm="http://schemas.microsoft.com/office/excel/2006/main">
          <x14:cfRule type="expression" priority="4383" id="{74CD3874-5441-4023-8EB7-C2285845474F}">
            <xm:f>AND(IF(J190&gt;'F:\Users\norela.briceno\Documents\Plan de acción\Plan Accion 2018\[Plan Accion Integrado ADRES Vigencia 2018 con Cuadro de Mando V6..xlsx]Plan de Accion 2018'!#REF!,J190&lt;&gt;¨N/A¨))</xm:f>
            <x14:dxf>
              <fill>
                <patternFill>
                  <bgColor theme="1" tint="0.499984740745262"/>
                </patternFill>
              </fill>
            </x14:dxf>
          </x14:cfRule>
          <x14:cfRule type="expression" priority="4384" stopIfTrue="1" id="{1C1B4BB5-B37E-400B-8926-055226B02D20}">
            <xm:f>AND(IF(J190='F:\Users\norela.briceno\Documents\Plan de acción\Plan Accion 2018\[Plan Accion Integrado ADRES Vigencia 2018 con Cuadro de Mando V6..xlsx]Plan de Accion 2018'!#REF!,J190&lt;&gt;"N/A"))</xm:f>
            <x14:dxf>
              <fill>
                <patternFill>
                  <bgColor rgb="FF00B050"/>
                </patternFill>
              </fill>
            </x14:dxf>
          </x14:cfRule>
          <x14:cfRule type="expression" priority="4385" stopIfTrue="1" id="{ED8E47E4-D66F-4D54-B1C1-FEB0B68DEF9D}">
            <xm:f>AND(IF(J190&lt;'F:\Users\norela.briceno\Documents\Plan de acción\Plan Accion 2018\[Plan Accion Integrado ADRES Vigencia 2018 con Cuadro de Mando V6..xlsx]Plan de Accion 2018'!#REF!,J190&lt;&gt;"N/A"))</xm:f>
            <x14:dxf>
              <fill>
                <patternFill>
                  <bgColor indexed="10"/>
                </patternFill>
              </fill>
            </x14:dxf>
          </x14:cfRule>
          <xm:sqref>J190 Q190 X190 AE190</xm:sqref>
        </x14:conditionalFormatting>
        <x14:conditionalFormatting xmlns:xm="http://schemas.microsoft.com/office/excel/2006/main">
          <x14:cfRule type="expression" priority="3902" id="{678754D2-DF50-46B1-8950-C24ECED98EAA}">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3903" stopIfTrue="1" id="{FE5492CB-4494-4244-BDB8-FAE8A2242B01}">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3904" stopIfTrue="1" id="{FF3B8240-B4B7-4511-A498-F783E631C3A0}">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3899" id="{E31CAE8C-B71B-44E4-AFF4-883187A31A39}">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3900" stopIfTrue="1" id="{0D53A130-D0CD-47BD-96B8-C45648C70A18}">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3901" stopIfTrue="1" id="{2134D9FD-6C38-4BB3-B664-1D731DF85627}">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3896" id="{EA0F4617-3541-4A16-AEE3-158925537A21}">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3897" stopIfTrue="1" id="{6888D027-E077-4900-8DE1-98767CE80CEC}">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3898" stopIfTrue="1" id="{AA75BFD8-AC06-4F50-9190-344A9DB4FF89}">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3893" id="{932C68B0-9696-4145-8E2E-F3E408C2B429}">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3894" stopIfTrue="1" id="{49673DF4-5D96-4D15-AD34-A8B389714EDD}">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3895" stopIfTrue="1" id="{71307233-5815-4812-A9B9-6E3ABA6111FC}">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3865" id="{685D9830-4CAE-4569-AD87-32D3D687B4B1}">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3866" stopIfTrue="1" id="{BC1DB968-9DE0-4A47-8676-B1FEDF3E098D}">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3867" stopIfTrue="1" id="{FCC11635-5254-4058-872B-86984798E174}">
            <xm:f>AND(IF(J180&lt;'F:\Users\norela.briceno\Documents\Plan de acción\Plan Accion 2018\[Plan Accion Integrado ADRES Vigencia 2018 con Cuadro de Mando V6..xlsx]Plan de Accion 2018'!#REF!,J180&lt;&gt;"N/A"))</xm:f>
            <x14:dxf>
              <fill>
                <patternFill>
                  <bgColor indexed="10"/>
                </patternFill>
              </fill>
            </x14:dxf>
          </x14:cfRule>
          <xm:sqref>J180 Q180 X180 AE180</xm:sqref>
        </x14:conditionalFormatting>
        <x14:conditionalFormatting xmlns:xm="http://schemas.microsoft.com/office/excel/2006/main">
          <x14:cfRule type="expression" priority="3734" id="{BE555A1A-93F9-40E9-8AA3-F886DF9DBF82}">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3735" stopIfTrue="1" id="{FB09D814-759B-446F-A793-0F0DFB25BBDA}">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3736" stopIfTrue="1" id="{C6D69CB3-95CB-4607-B17F-7CEF50451595}">
            <xm:f>AND(IF(J181&lt;'F:\Users\norela.briceno\Documents\Plan de acción\Plan Accion 2018\[Plan Accion Integrado ADRES Vigencia 2018 con Cuadro de Mando V6..xlsx]Plan de Accion 2018'!#REF!,J181&lt;&gt;"N/A"))</xm:f>
            <x14:dxf>
              <fill>
                <patternFill>
                  <bgColor indexed="10"/>
                </patternFill>
              </fill>
            </x14:dxf>
          </x14:cfRule>
          <xm:sqref>J181 Q181 X181 AE181</xm:sqref>
        </x14:conditionalFormatting>
        <x14:conditionalFormatting xmlns:xm="http://schemas.microsoft.com/office/excel/2006/main">
          <x14:cfRule type="expression" priority="3606" id="{ED4F8C0B-7DC5-4D1C-AF20-9B5032F77918}">
            <xm:f>AND(IF(J356&gt;'F:\Users\norela.briceno\Documents\Plan de acción\Plan Accion 2018\[Plan Accion Integrado ADRES Vigencia 2018 con Cuadro de Mando V6..xlsx]Plan de Accion 2018'!#REF!,J356&lt;&gt;¨N/A¨))</xm:f>
            <x14:dxf>
              <fill>
                <patternFill>
                  <bgColor theme="1" tint="0.499984740745262"/>
                </patternFill>
              </fill>
            </x14:dxf>
          </x14:cfRule>
          <x14:cfRule type="expression" priority="3607" stopIfTrue="1" id="{5BB40D00-DCFB-4FC5-B310-0A67B27EF4D1}">
            <xm:f>AND(IF(J356='F:\Users\norela.briceno\Documents\Plan de acción\Plan Accion 2018\[Plan Accion Integrado ADRES Vigencia 2018 con Cuadro de Mando V6..xlsx]Plan de Accion 2018'!#REF!,J356&lt;&gt;"N/A"))</xm:f>
            <x14:dxf>
              <fill>
                <patternFill>
                  <bgColor rgb="FF00B050"/>
                </patternFill>
              </fill>
            </x14:dxf>
          </x14:cfRule>
          <x14:cfRule type="expression" priority="3608" stopIfTrue="1" id="{01A3E23E-AC6C-41B7-A2C4-7E6525CAAD3F}">
            <xm:f>AND(IF(J356&lt;'F:\Users\norela.briceno\Documents\Plan de acción\Plan Accion 2018\[Plan Accion Integrado ADRES Vigencia 2018 con Cuadro de Mando V6..xlsx]Plan de Accion 2018'!#REF!,J356&lt;&gt;"N/A"))</xm:f>
            <x14:dxf>
              <fill>
                <patternFill>
                  <bgColor indexed="10"/>
                </patternFill>
              </fill>
            </x14:dxf>
          </x14:cfRule>
          <xm:sqref>J356</xm:sqref>
        </x14:conditionalFormatting>
        <x14:conditionalFormatting xmlns:xm="http://schemas.microsoft.com/office/excel/2006/main">
          <x14:cfRule type="expression" priority="3603" id="{D636282C-CAEF-4530-827D-58254A676B8C}">
            <xm:f>AND(IF(Q356&gt;'F:\Users\norela.briceno\Documents\Plan de acción\Plan Accion 2018\[Plan Accion Integrado ADRES Vigencia 2018 con Cuadro de Mando V6..xlsx]Plan de Accion 2018'!#REF!,Q356&lt;&gt;¨N/A¨))</xm:f>
            <x14:dxf>
              <fill>
                <patternFill>
                  <bgColor theme="1" tint="0.499984740745262"/>
                </patternFill>
              </fill>
            </x14:dxf>
          </x14:cfRule>
          <x14:cfRule type="expression" priority="3604" stopIfTrue="1" id="{1F67E81B-8B9E-41D6-B56A-F2B7B48C17AF}">
            <xm:f>AND(IF(Q356='F:\Users\norela.briceno\Documents\Plan de acción\Plan Accion 2018\[Plan Accion Integrado ADRES Vigencia 2018 con Cuadro de Mando V6..xlsx]Plan de Accion 2018'!#REF!,Q356&lt;&gt;"N/A"))</xm:f>
            <x14:dxf>
              <fill>
                <patternFill>
                  <bgColor rgb="FF00B050"/>
                </patternFill>
              </fill>
            </x14:dxf>
          </x14:cfRule>
          <x14:cfRule type="expression" priority="3605" stopIfTrue="1" id="{ED5BC70F-5F79-4A3D-9478-95F9797153F3}">
            <xm:f>AND(IF(Q356&lt;'F:\Users\norela.briceno\Documents\Plan de acción\Plan Accion 2018\[Plan Accion Integrado ADRES Vigencia 2018 con Cuadro de Mando V6..xlsx]Plan de Accion 2018'!#REF!,Q356&lt;&gt;"N/A"))</xm:f>
            <x14:dxf>
              <fill>
                <patternFill>
                  <bgColor indexed="10"/>
                </patternFill>
              </fill>
            </x14:dxf>
          </x14:cfRule>
          <xm:sqref>Q356</xm:sqref>
        </x14:conditionalFormatting>
        <x14:conditionalFormatting xmlns:xm="http://schemas.microsoft.com/office/excel/2006/main">
          <x14:cfRule type="expression" priority="3600" id="{7547245C-38C8-43A1-A568-6C4E44BBB8A3}">
            <xm:f>AND(IF(X356&gt;'F:\Users\norela.briceno\Documents\Plan de acción\Plan Accion 2018\[Plan Accion Integrado ADRES Vigencia 2018 con Cuadro de Mando V6..xlsx]Plan de Accion 2018'!#REF!,X356&lt;&gt;¨N/A¨))</xm:f>
            <x14:dxf>
              <fill>
                <patternFill>
                  <bgColor theme="1" tint="0.499984740745262"/>
                </patternFill>
              </fill>
            </x14:dxf>
          </x14:cfRule>
          <x14:cfRule type="expression" priority="3601" stopIfTrue="1" id="{8E152BB0-E4C4-4D52-A3E7-66CBECD57933}">
            <xm:f>AND(IF(X356='F:\Users\norela.briceno\Documents\Plan de acción\Plan Accion 2018\[Plan Accion Integrado ADRES Vigencia 2018 con Cuadro de Mando V6..xlsx]Plan de Accion 2018'!#REF!,X356&lt;&gt;"N/A"))</xm:f>
            <x14:dxf>
              <fill>
                <patternFill>
                  <bgColor rgb="FF00B050"/>
                </patternFill>
              </fill>
            </x14:dxf>
          </x14:cfRule>
          <x14:cfRule type="expression" priority="3602" stopIfTrue="1" id="{9CCA5A68-A8D7-42AF-B3FC-EA29E2C86A4F}">
            <xm:f>AND(IF(X356&lt;'F:\Users\norela.briceno\Documents\Plan de acción\Plan Accion 2018\[Plan Accion Integrado ADRES Vigencia 2018 con Cuadro de Mando V6..xlsx]Plan de Accion 2018'!#REF!,X356&lt;&gt;"N/A"))</xm:f>
            <x14:dxf>
              <fill>
                <patternFill>
                  <bgColor indexed="10"/>
                </patternFill>
              </fill>
            </x14:dxf>
          </x14:cfRule>
          <xm:sqref>X356</xm:sqref>
        </x14:conditionalFormatting>
        <x14:conditionalFormatting xmlns:xm="http://schemas.microsoft.com/office/excel/2006/main">
          <x14:cfRule type="expression" priority="3597" id="{1603CF81-F798-44BB-A1EF-41103772D496}">
            <xm:f>AND(IF(AE356&gt;'F:\Users\norela.briceno\Documents\Plan de acción\Plan Accion 2018\[Plan Accion Integrado ADRES Vigencia 2018 con Cuadro de Mando V6..xlsx]Plan de Accion 2018'!#REF!,AE356&lt;&gt;¨N/A¨))</xm:f>
            <x14:dxf>
              <fill>
                <patternFill>
                  <bgColor theme="1" tint="0.499984740745262"/>
                </patternFill>
              </fill>
            </x14:dxf>
          </x14:cfRule>
          <x14:cfRule type="expression" priority="3598" stopIfTrue="1" id="{5599C34F-D546-4645-89D3-EAAEF7BFAB4F}">
            <xm:f>AND(IF(AE356='F:\Users\norela.briceno\Documents\Plan de acción\Plan Accion 2018\[Plan Accion Integrado ADRES Vigencia 2018 con Cuadro de Mando V6..xlsx]Plan de Accion 2018'!#REF!,AE356&lt;&gt;"N/A"))</xm:f>
            <x14:dxf>
              <fill>
                <patternFill>
                  <bgColor rgb="FF00B050"/>
                </patternFill>
              </fill>
            </x14:dxf>
          </x14:cfRule>
          <x14:cfRule type="expression" priority="3599" stopIfTrue="1" id="{C43E3513-AE80-4AD0-8DCD-377768E275ED}">
            <xm:f>AND(IF(AE356&lt;'F:\Users\norela.briceno\Documents\Plan de acción\Plan Accion 2018\[Plan Accion Integrado ADRES Vigencia 2018 con Cuadro de Mando V6..xlsx]Plan de Accion 2018'!#REF!,AE356&lt;&gt;"N/A"))</xm:f>
            <x14:dxf>
              <fill>
                <patternFill>
                  <bgColor indexed="10"/>
                </patternFill>
              </fill>
            </x14:dxf>
          </x14:cfRule>
          <xm:sqref>AE356</xm:sqref>
        </x14:conditionalFormatting>
        <x14:conditionalFormatting xmlns:xm="http://schemas.microsoft.com/office/excel/2006/main">
          <x14:cfRule type="expression" priority="3554" id="{6AFBBCAB-19FF-4980-8D55-AAB242D507A6}">
            <xm:f>AND(IF(J37&gt;'F:\Users\norela.briceno\Documents\Plan de acción\Plan Accion 2018\[Plan Accion Integrado ADRES Vigencia 2018 con Cuadro de Mando V6..xlsx]Plan de Accion 2018'!#REF!,J37&lt;&gt;¨N/A¨))</xm:f>
            <x14:dxf>
              <fill>
                <patternFill>
                  <bgColor theme="1" tint="0.499984740745262"/>
                </patternFill>
              </fill>
            </x14:dxf>
          </x14:cfRule>
          <x14:cfRule type="expression" priority="3555" stopIfTrue="1" id="{A4E01B9E-9391-4180-9B12-680EC8ED5008}">
            <xm:f>AND(IF(J37='F:\Users\norela.briceno\Documents\Plan de acción\Plan Accion 2018\[Plan Accion Integrado ADRES Vigencia 2018 con Cuadro de Mando V6..xlsx]Plan de Accion 2018'!#REF!,J37&lt;&gt;"N/A"))</xm:f>
            <x14:dxf>
              <fill>
                <patternFill>
                  <bgColor rgb="FF00B050"/>
                </patternFill>
              </fill>
            </x14:dxf>
          </x14:cfRule>
          <x14:cfRule type="expression" priority="3556" stopIfTrue="1" id="{7FB56252-170F-472F-BE22-FF4160C73165}">
            <xm:f>AND(IF(J37&lt;'F:\Users\norela.briceno\Documents\Plan de acción\Plan Accion 2018\[Plan Accion Integrado ADRES Vigencia 2018 con Cuadro de Mando V6..xlsx]Plan de Accion 2018'!#REF!,J37&lt;&gt;"N/A"))</xm:f>
            <x14:dxf>
              <fill>
                <patternFill>
                  <bgColor indexed="10"/>
                </patternFill>
              </fill>
            </x14:dxf>
          </x14:cfRule>
          <xm:sqref>J37:J39</xm:sqref>
        </x14:conditionalFormatting>
        <x14:conditionalFormatting xmlns:xm="http://schemas.microsoft.com/office/excel/2006/main">
          <x14:cfRule type="expression" priority="3536" id="{135C4F72-0258-4E51-B978-DC71F8014234}">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3537" stopIfTrue="1" id="{96D39079-AF33-447D-AF36-490234D3A1B6}">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3538" stopIfTrue="1" id="{C701ADF7-D3F0-446E-BAFF-E4F95729562C}">
            <xm:f>AND(IF(X234&lt;'F:\Users\norela.briceno\Documents\Plan de acción\Plan Accion 2018\[Plan Accion Integrado ADRES Vigencia 2018 con Cuadro de Mando V6..xlsx]Plan de Accion 2018'!#REF!,X234&lt;&gt;"N/A"))</xm:f>
            <x14:dxf>
              <fill>
                <patternFill>
                  <bgColor indexed="10"/>
                </patternFill>
              </fill>
            </x14:dxf>
          </x14:cfRule>
          <xm:sqref>X234:X235</xm:sqref>
        </x14:conditionalFormatting>
        <x14:conditionalFormatting xmlns:xm="http://schemas.microsoft.com/office/excel/2006/main">
          <x14:cfRule type="expression" priority="3523" id="{2D330E5A-F1B3-40A1-A120-1DD055E9DE3D}">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3524" stopIfTrue="1" id="{C3B742D9-FCF7-49F4-93D7-1CD320DBF8B3}">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3525" stopIfTrue="1" id="{3200E4F7-A45A-48C9-A339-DD5DED3B8783}">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3451" id="{BB268176-6760-4DEE-94AF-8785C1180D11}">
            <xm:f>AND(IF(AE172&gt;'F:\Users\norela.briceno\Documents\Plan de acción\Plan Accion 2018\[Plan Accion Integrado ADRES Vigencia 2018 con Cuadro de Mando V6..xlsx]Plan de Accion 2018'!#REF!,AE172&lt;&gt;¨N/A¨))</xm:f>
            <x14:dxf>
              <fill>
                <patternFill>
                  <bgColor theme="1" tint="0.499984740745262"/>
                </patternFill>
              </fill>
            </x14:dxf>
          </x14:cfRule>
          <x14:cfRule type="expression" priority="3452" stopIfTrue="1" id="{4E3E99BC-E60D-4823-A2B1-4099FF95CF9E}">
            <xm:f>AND(IF(AE172='F:\Users\norela.briceno\Documents\Plan de acción\Plan Accion 2018\[Plan Accion Integrado ADRES Vigencia 2018 con Cuadro de Mando V6..xlsx]Plan de Accion 2018'!#REF!,AE172&lt;&gt;"N/A"))</xm:f>
            <x14:dxf>
              <fill>
                <patternFill>
                  <bgColor rgb="FF00B050"/>
                </patternFill>
              </fill>
            </x14:dxf>
          </x14:cfRule>
          <x14:cfRule type="expression" priority="3453" stopIfTrue="1" id="{F341BF8D-46BF-4185-97AF-1086DE8D6B9E}">
            <xm:f>AND(IF(AE172&lt;'F:\Users\norela.briceno\Documents\Plan de acción\Plan Accion 2018\[Plan Accion Integrado ADRES Vigencia 2018 con Cuadro de Mando V6..xlsx]Plan de Accion 2018'!#REF!,AE172&lt;&gt;"N/A"))</xm:f>
            <x14:dxf>
              <fill>
                <patternFill>
                  <bgColor indexed="10"/>
                </patternFill>
              </fill>
            </x14:dxf>
          </x14:cfRule>
          <xm:sqref>AE172</xm:sqref>
        </x14:conditionalFormatting>
        <x14:conditionalFormatting xmlns:xm="http://schemas.microsoft.com/office/excel/2006/main">
          <x14:cfRule type="expression" priority="3460" id="{4C948924-FDF4-46D7-B4BE-946862EBABCF}">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3461" stopIfTrue="1" id="{B8CB04C2-2544-4844-820C-BF50867A4F2F}">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3462" stopIfTrue="1" id="{ED675424-1FBD-463F-BE62-E35FE3AB2B51}">
            <xm:f>AND(IF(J172&lt;'F:\Users\norela.briceno\Documents\Plan de acción\Plan Accion 2018\[Plan Accion Integrado ADRES Vigencia 2018 con Cuadro de Mando V6..xlsx]Plan de Accion 2018'!#REF!,J172&lt;&gt;"N/A"))</xm:f>
            <x14:dxf>
              <fill>
                <patternFill>
                  <bgColor indexed="10"/>
                </patternFill>
              </fill>
            </x14:dxf>
          </x14:cfRule>
          <xm:sqref>J172</xm:sqref>
        </x14:conditionalFormatting>
        <x14:conditionalFormatting xmlns:xm="http://schemas.microsoft.com/office/excel/2006/main">
          <x14:cfRule type="expression" priority="3457" id="{9921FE1D-0488-4978-9516-13AD0FA46DC5}">
            <xm:f>AND(IF(Q172&gt;'F:\Users\norela.briceno\Documents\Plan de acción\Plan Accion 2018\[Plan Accion Integrado ADRES Vigencia 2018 con Cuadro de Mando V6..xlsx]Plan de Accion 2018'!#REF!,Q172&lt;&gt;¨N/A¨))</xm:f>
            <x14:dxf>
              <fill>
                <patternFill>
                  <bgColor theme="1" tint="0.499984740745262"/>
                </patternFill>
              </fill>
            </x14:dxf>
          </x14:cfRule>
          <x14:cfRule type="expression" priority="3458" stopIfTrue="1" id="{2A229CC6-0CE4-4A0A-9B70-749CCFA80BE7}">
            <xm:f>AND(IF(Q172='F:\Users\norela.briceno\Documents\Plan de acción\Plan Accion 2018\[Plan Accion Integrado ADRES Vigencia 2018 con Cuadro de Mando V6..xlsx]Plan de Accion 2018'!#REF!,Q172&lt;&gt;"N/A"))</xm:f>
            <x14:dxf>
              <fill>
                <patternFill>
                  <bgColor rgb="FF00B050"/>
                </patternFill>
              </fill>
            </x14:dxf>
          </x14:cfRule>
          <x14:cfRule type="expression" priority="3459" stopIfTrue="1" id="{BC3474CA-F4AA-423A-8469-49BB18B7C340}">
            <xm:f>AND(IF(Q172&lt;'F:\Users\norela.briceno\Documents\Plan de acción\Plan Accion 2018\[Plan Accion Integrado ADRES Vigencia 2018 con Cuadro de Mando V6..xlsx]Plan de Accion 2018'!#REF!,Q172&lt;&gt;"N/A"))</xm:f>
            <x14:dxf>
              <fill>
                <patternFill>
                  <bgColor indexed="10"/>
                </patternFill>
              </fill>
            </x14:dxf>
          </x14:cfRule>
          <xm:sqref>Q172</xm:sqref>
        </x14:conditionalFormatting>
        <x14:conditionalFormatting xmlns:xm="http://schemas.microsoft.com/office/excel/2006/main">
          <x14:cfRule type="expression" priority="3454" id="{38EDBC65-AEC4-4CA4-A4AD-94E34E066A9E}">
            <xm:f>AND(IF(X172&gt;'F:\Users\norela.briceno\Documents\Plan de acción\Plan Accion 2018\[Plan Accion Integrado ADRES Vigencia 2018 con Cuadro de Mando V6..xlsx]Plan de Accion 2018'!#REF!,X172&lt;&gt;¨N/A¨))</xm:f>
            <x14:dxf>
              <fill>
                <patternFill>
                  <bgColor theme="1" tint="0.499984740745262"/>
                </patternFill>
              </fill>
            </x14:dxf>
          </x14:cfRule>
          <x14:cfRule type="expression" priority="3455" stopIfTrue="1" id="{4B736B93-D52C-406D-BBAA-DC30935F5B0C}">
            <xm:f>AND(IF(X172='F:\Users\norela.briceno\Documents\Plan de acción\Plan Accion 2018\[Plan Accion Integrado ADRES Vigencia 2018 con Cuadro de Mando V6..xlsx]Plan de Accion 2018'!#REF!,X172&lt;&gt;"N/A"))</xm:f>
            <x14:dxf>
              <fill>
                <patternFill>
                  <bgColor rgb="FF00B050"/>
                </patternFill>
              </fill>
            </x14:dxf>
          </x14:cfRule>
          <x14:cfRule type="expression" priority="3456" stopIfTrue="1" id="{7AE1A6A8-5EC1-44B5-B392-D76B33885EBB}">
            <xm:f>AND(IF(X172&lt;'F:\Users\norela.briceno\Documents\Plan de acción\Plan Accion 2018\[Plan Accion Integrado ADRES Vigencia 2018 con Cuadro de Mando V6..xlsx]Plan de Accion 2018'!#REF!,X172&lt;&gt;"N/A"))</xm:f>
            <x14:dxf>
              <fill>
                <patternFill>
                  <bgColor indexed="10"/>
                </patternFill>
              </fill>
            </x14:dxf>
          </x14:cfRule>
          <xm:sqref>X172</xm:sqref>
        </x14:conditionalFormatting>
        <x14:conditionalFormatting xmlns:xm="http://schemas.microsoft.com/office/excel/2006/main">
          <x14:cfRule type="expression" priority="3403" id="{4BD4C8E7-859B-4138-809E-A5EEC933A1E9}">
            <xm:f>AND(IF(J174&gt;'F:\Users\norela.briceno\Documents\Plan de acción\Plan Accion 2018\[Plan Accion Integrado ADRES Vigencia 2018 con Cuadro de Mando V6..xlsx]Plan de Accion 2018'!#REF!,J174&lt;&gt;¨N/A¨))</xm:f>
            <x14:dxf>
              <fill>
                <patternFill>
                  <bgColor theme="1" tint="0.499984740745262"/>
                </patternFill>
              </fill>
            </x14:dxf>
          </x14:cfRule>
          <x14:cfRule type="expression" priority="3404" stopIfTrue="1" id="{46A7945A-196C-4315-80B6-BC4F0569B2D4}">
            <xm:f>AND(IF(J174='F:\Users\norela.briceno\Documents\Plan de acción\Plan Accion 2018\[Plan Accion Integrado ADRES Vigencia 2018 con Cuadro de Mando V6..xlsx]Plan de Accion 2018'!#REF!,J174&lt;&gt;"N/A"))</xm:f>
            <x14:dxf>
              <fill>
                <patternFill>
                  <bgColor rgb="FF00B050"/>
                </patternFill>
              </fill>
            </x14:dxf>
          </x14:cfRule>
          <x14:cfRule type="expression" priority="3405" stopIfTrue="1" id="{CCFD72B2-D76F-46CC-A29C-2BF16DE3F128}">
            <xm:f>AND(IF(J174&lt;'F:\Users\norela.briceno\Documents\Plan de acción\Plan Accion 2018\[Plan Accion Integrado ADRES Vigencia 2018 con Cuadro de Mando V6..xlsx]Plan de Accion 2018'!#REF!,J174&lt;&gt;"N/A"))</xm:f>
            <x14:dxf>
              <fill>
                <patternFill>
                  <bgColor indexed="10"/>
                </patternFill>
              </fill>
            </x14:dxf>
          </x14:cfRule>
          <xm:sqref>J174</xm:sqref>
        </x14:conditionalFormatting>
        <x14:conditionalFormatting xmlns:xm="http://schemas.microsoft.com/office/excel/2006/main">
          <x14:cfRule type="expression" priority="3400" id="{C6AD351F-C471-4266-A556-32475F1B8909}">
            <xm:f>AND(IF(Q174&gt;'F:\Users\norela.briceno\Documents\Plan de acción\Plan Accion 2018\[Plan Accion Integrado ADRES Vigencia 2018 con Cuadro de Mando V6..xlsx]Plan de Accion 2018'!#REF!,Q174&lt;&gt;¨N/A¨))</xm:f>
            <x14:dxf>
              <fill>
                <patternFill>
                  <bgColor theme="1" tint="0.499984740745262"/>
                </patternFill>
              </fill>
            </x14:dxf>
          </x14:cfRule>
          <x14:cfRule type="expression" priority="3401" stopIfTrue="1" id="{9EF91D29-DEBD-4F9B-9C2E-A73A2CA881E7}">
            <xm:f>AND(IF(Q174='F:\Users\norela.briceno\Documents\Plan de acción\Plan Accion 2018\[Plan Accion Integrado ADRES Vigencia 2018 con Cuadro de Mando V6..xlsx]Plan de Accion 2018'!#REF!,Q174&lt;&gt;"N/A"))</xm:f>
            <x14:dxf>
              <fill>
                <patternFill>
                  <bgColor rgb="FF00B050"/>
                </patternFill>
              </fill>
            </x14:dxf>
          </x14:cfRule>
          <x14:cfRule type="expression" priority="3402" stopIfTrue="1" id="{F4AA46E8-B339-498F-9D2C-90F6ABC0A7F7}">
            <xm:f>AND(IF(Q174&lt;'F:\Users\norela.briceno\Documents\Plan de acción\Plan Accion 2018\[Plan Accion Integrado ADRES Vigencia 2018 con Cuadro de Mando V6..xlsx]Plan de Accion 2018'!#REF!,Q174&lt;&gt;"N/A"))</xm:f>
            <x14:dxf>
              <fill>
                <patternFill>
                  <bgColor indexed="10"/>
                </patternFill>
              </fill>
            </x14:dxf>
          </x14:cfRule>
          <xm:sqref>Q174</xm:sqref>
        </x14:conditionalFormatting>
        <x14:conditionalFormatting xmlns:xm="http://schemas.microsoft.com/office/excel/2006/main">
          <x14:cfRule type="expression" priority="3397" id="{7BC1B977-C15E-4F1D-984C-77A92DA4F754}">
            <xm:f>AND(IF(X174&gt;'F:\Users\norela.briceno\Documents\Plan de acción\Plan Accion 2018\[Plan Accion Integrado ADRES Vigencia 2018 con Cuadro de Mando V6..xlsx]Plan de Accion 2018'!#REF!,X174&lt;&gt;¨N/A¨))</xm:f>
            <x14:dxf>
              <fill>
                <patternFill>
                  <bgColor theme="1" tint="0.499984740745262"/>
                </patternFill>
              </fill>
            </x14:dxf>
          </x14:cfRule>
          <x14:cfRule type="expression" priority="3398" stopIfTrue="1" id="{FB0CA6FB-5D56-41B7-AAE4-3EE1AE6361F0}">
            <xm:f>AND(IF(X174='F:\Users\norela.briceno\Documents\Plan de acción\Plan Accion 2018\[Plan Accion Integrado ADRES Vigencia 2018 con Cuadro de Mando V6..xlsx]Plan de Accion 2018'!#REF!,X174&lt;&gt;"N/A"))</xm:f>
            <x14:dxf>
              <fill>
                <patternFill>
                  <bgColor rgb="FF00B050"/>
                </patternFill>
              </fill>
            </x14:dxf>
          </x14:cfRule>
          <x14:cfRule type="expression" priority="3399" stopIfTrue="1" id="{BE1F4E85-DE83-4D4B-9017-032549C786E2}">
            <xm:f>AND(IF(X174&lt;'F:\Users\norela.briceno\Documents\Plan de acción\Plan Accion 2018\[Plan Accion Integrado ADRES Vigencia 2018 con Cuadro de Mando V6..xlsx]Plan de Accion 2018'!#REF!,X174&lt;&gt;"N/A"))</xm:f>
            <x14:dxf>
              <fill>
                <patternFill>
                  <bgColor indexed="10"/>
                </patternFill>
              </fill>
            </x14:dxf>
          </x14:cfRule>
          <xm:sqref>X174</xm:sqref>
        </x14:conditionalFormatting>
        <x14:conditionalFormatting xmlns:xm="http://schemas.microsoft.com/office/excel/2006/main">
          <x14:cfRule type="expression" priority="3394" id="{F64FC179-FE41-4418-9C44-A620178E15A4}">
            <xm:f>AND(IF(AE174&gt;'F:\Users\norela.briceno\Documents\Plan de acción\Plan Accion 2018\[Plan Accion Integrado ADRES Vigencia 2018 con Cuadro de Mando V6..xlsx]Plan de Accion 2018'!#REF!,AE174&lt;&gt;¨N/A¨))</xm:f>
            <x14:dxf>
              <fill>
                <patternFill>
                  <bgColor theme="1" tint="0.499984740745262"/>
                </patternFill>
              </fill>
            </x14:dxf>
          </x14:cfRule>
          <x14:cfRule type="expression" priority="3395" stopIfTrue="1" id="{6A183700-CD8C-4D0A-9A7D-75E9DA82CEF6}">
            <xm:f>AND(IF(AE174='F:\Users\norela.briceno\Documents\Plan de acción\Plan Accion 2018\[Plan Accion Integrado ADRES Vigencia 2018 con Cuadro de Mando V6..xlsx]Plan de Accion 2018'!#REF!,AE174&lt;&gt;"N/A"))</xm:f>
            <x14:dxf>
              <fill>
                <patternFill>
                  <bgColor rgb="FF00B050"/>
                </patternFill>
              </fill>
            </x14:dxf>
          </x14:cfRule>
          <x14:cfRule type="expression" priority="3396" stopIfTrue="1" id="{6CA6EC19-6F7C-4ACD-A71A-A3D0B56E98E6}">
            <xm:f>AND(IF(AE174&lt;'F:\Users\norela.briceno\Documents\Plan de acción\Plan Accion 2018\[Plan Accion Integrado ADRES Vigencia 2018 con Cuadro de Mando V6..xlsx]Plan de Accion 2018'!#REF!,AE174&lt;&gt;"N/A"))</xm:f>
            <x14:dxf>
              <fill>
                <patternFill>
                  <bgColor indexed="10"/>
                </patternFill>
              </fill>
            </x14:dxf>
          </x14:cfRule>
          <xm:sqref>AE174</xm:sqref>
        </x14:conditionalFormatting>
        <x14:conditionalFormatting xmlns:xm="http://schemas.microsoft.com/office/excel/2006/main">
          <x14:cfRule type="expression" priority="3336" id="{6909E69D-CD05-4667-BB85-7186CF8EF2AE}">
            <xm:f>AND(IF(J166&gt;'F:\Users\norela.briceno\Documents\Plan de acción\Plan Accion 2018\[Plan Accion Integrado ADRES Vigencia 2018 con Cuadro de Mando V6..xlsx]Plan de Accion 2018'!#REF!,J166&lt;&gt;¨N/A¨))</xm:f>
            <x14:dxf>
              <fill>
                <patternFill>
                  <bgColor theme="1" tint="0.499984740745262"/>
                </patternFill>
              </fill>
            </x14:dxf>
          </x14:cfRule>
          <x14:cfRule type="expression" priority="3337" stopIfTrue="1" id="{E3C133C7-ECDD-4F2E-9D6D-BD6340808ADB}">
            <xm:f>AND(IF(J166='F:\Users\norela.briceno\Documents\Plan de acción\Plan Accion 2018\[Plan Accion Integrado ADRES Vigencia 2018 con Cuadro de Mando V6..xlsx]Plan de Accion 2018'!#REF!,J166&lt;&gt;"N/A"))</xm:f>
            <x14:dxf>
              <fill>
                <patternFill>
                  <bgColor rgb="FF00B050"/>
                </patternFill>
              </fill>
            </x14:dxf>
          </x14:cfRule>
          <x14:cfRule type="expression" priority="3338" stopIfTrue="1" id="{59ACAC54-7C9C-486C-AF72-722D54F2A306}">
            <xm:f>AND(IF(J166&lt;'F:\Users\norela.briceno\Documents\Plan de acción\Plan Accion 2018\[Plan Accion Integrado ADRES Vigencia 2018 con Cuadro de Mando V6..xlsx]Plan de Accion 2018'!#REF!,J166&lt;&gt;"N/A"))</xm:f>
            <x14:dxf>
              <fill>
                <patternFill>
                  <bgColor indexed="10"/>
                </patternFill>
              </fill>
            </x14:dxf>
          </x14:cfRule>
          <xm:sqref>J166</xm:sqref>
        </x14:conditionalFormatting>
        <x14:conditionalFormatting xmlns:xm="http://schemas.microsoft.com/office/excel/2006/main">
          <x14:cfRule type="expression" priority="3333" id="{78C70622-9AEB-44D8-9A3E-A9DA70D014C1}">
            <xm:f>AND(IF(Q166&gt;'F:\Users\norela.briceno\Documents\Plan de acción\Plan Accion 2018\[Plan Accion Integrado ADRES Vigencia 2018 con Cuadro de Mando V6..xlsx]Plan de Accion 2018'!#REF!,Q166&lt;&gt;¨N/A¨))</xm:f>
            <x14:dxf>
              <fill>
                <patternFill>
                  <bgColor theme="1" tint="0.499984740745262"/>
                </patternFill>
              </fill>
            </x14:dxf>
          </x14:cfRule>
          <x14:cfRule type="expression" priority="3334" stopIfTrue="1" id="{0A2F5A50-DD83-4E0F-82F4-E618237FBD96}">
            <xm:f>AND(IF(Q166='F:\Users\norela.briceno\Documents\Plan de acción\Plan Accion 2018\[Plan Accion Integrado ADRES Vigencia 2018 con Cuadro de Mando V6..xlsx]Plan de Accion 2018'!#REF!,Q166&lt;&gt;"N/A"))</xm:f>
            <x14:dxf>
              <fill>
                <patternFill>
                  <bgColor rgb="FF00B050"/>
                </patternFill>
              </fill>
            </x14:dxf>
          </x14:cfRule>
          <x14:cfRule type="expression" priority="3335" stopIfTrue="1" id="{32E4270F-2C7E-40B6-BC6D-47A79CDEFAF0}">
            <xm:f>AND(IF(Q166&lt;'F:\Users\norela.briceno\Documents\Plan de acción\Plan Accion 2018\[Plan Accion Integrado ADRES Vigencia 2018 con Cuadro de Mando V6..xlsx]Plan de Accion 2018'!#REF!,Q166&lt;&gt;"N/A"))</xm:f>
            <x14:dxf>
              <fill>
                <patternFill>
                  <bgColor indexed="10"/>
                </patternFill>
              </fill>
            </x14:dxf>
          </x14:cfRule>
          <xm:sqref>Q166</xm:sqref>
        </x14:conditionalFormatting>
        <x14:conditionalFormatting xmlns:xm="http://schemas.microsoft.com/office/excel/2006/main">
          <x14:cfRule type="expression" priority="3330" id="{BCA9250E-F43E-4044-B269-8F9CD8B5C1C4}">
            <xm:f>AND(IF(X166&gt;'F:\Users\norela.briceno\Documents\Plan de acción\Plan Accion 2018\[Plan Accion Integrado ADRES Vigencia 2018 con Cuadro de Mando V6..xlsx]Plan de Accion 2018'!#REF!,X166&lt;&gt;¨N/A¨))</xm:f>
            <x14:dxf>
              <fill>
                <patternFill>
                  <bgColor theme="1" tint="0.499984740745262"/>
                </patternFill>
              </fill>
            </x14:dxf>
          </x14:cfRule>
          <x14:cfRule type="expression" priority="3331" stopIfTrue="1" id="{4BCE8185-0D2D-4B48-AEAD-6F89048A750F}">
            <xm:f>AND(IF(X166='F:\Users\norela.briceno\Documents\Plan de acción\Plan Accion 2018\[Plan Accion Integrado ADRES Vigencia 2018 con Cuadro de Mando V6..xlsx]Plan de Accion 2018'!#REF!,X166&lt;&gt;"N/A"))</xm:f>
            <x14:dxf>
              <fill>
                <patternFill>
                  <bgColor rgb="FF00B050"/>
                </patternFill>
              </fill>
            </x14:dxf>
          </x14:cfRule>
          <x14:cfRule type="expression" priority="3332" stopIfTrue="1" id="{285045A8-6F89-453A-B584-BEDDFAA0B424}">
            <xm:f>AND(IF(X166&lt;'F:\Users\norela.briceno\Documents\Plan de acción\Plan Accion 2018\[Plan Accion Integrado ADRES Vigencia 2018 con Cuadro de Mando V6..xlsx]Plan de Accion 2018'!#REF!,X166&lt;&gt;"N/A"))</xm:f>
            <x14:dxf>
              <fill>
                <patternFill>
                  <bgColor indexed="10"/>
                </patternFill>
              </fill>
            </x14:dxf>
          </x14:cfRule>
          <xm:sqref>X166</xm:sqref>
        </x14:conditionalFormatting>
        <x14:conditionalFormatting xmlns:xm="http://schemas.microsoft.com/office/excel/2006/main">
          <x14:cfRule type="expression" priority="3327" id="{D23294BB-B419-40B1-B1E7-17742289B818}">
            <xm:f>AND(IF(AE166&gt;'F:\Users\norela.briceno\Documents\Plan de acción\Plan Accion 2018\[Plan Accion Integrado ADRES Vigencia 2018 con Cuadro de Mando V6..xlsx]Plan de Accion 2018'!#REF!,AE166&lt;&gt;¨N/A¨))</xm:f>
            <x14:dxf>
              <fill>
                <patternFill>
                  <bgColor theme="1" tint="0.499984740745262"/>
                </patternFill>
              </fill>
            </x14:dxf>
          </x14:cfRule>
          <x14:cfRule type="expression" priority="3328" stopIfTrue="1" id="{1C262F84-8C65-4BFB-9999-B38083DA8D45}">
            <xm:f>AND(IF(AE166='F:\Users\norela.briceno\Documents\Plan de acción\Plan Accion 2018\[Plan Accion Integrado ADRES Vigencia 2018 con Cuadro de Mando V6..xlsx]Plan de Accion 2018'!#REF!,AE166&lt;&gt;"N/A"))</xm:f>
            <x14:dxf>
              <fill>
                <patternFill>
                  <bgColor rgb="FF00B050"/>
                </patternFill>
              </fill>
            </x14:dxf>
          </x14:cfRule>
          <x14:cfRule type="expression" priority="3329" stopIfTrue="1" id="{3567F6AF-6331-4873-A46D-CCB8A1BC5C92}">
            <xm:f>AND(IF(AE166&lt;'F:\Users\norela.briceno\Documents\Plan de acción\Plan Accion 2018\[Plan Accion Integrado ADRES Vigencia 2018 con Cuadro de Mando V6..xlsx]Plan de Accion 2018'!#REF!,AE166&lt;&gt;"N/A"))</xm:f>
            <x14:dxf>
              <fill>
                <patternFill>
                  <bgColor indexed="10"/>
                </patternFill>
              </fill>
            </x14:dxf>
          </x14:cfRule>
          <xm:sqref>AE166</xm:sqref>
        </x14:conditionalFormatting>
        <x14:conditionalFormatting xmlns:xm="http://schemas.microsoft.com/office/excel/2006/main">
          <x14:cfRule type="expression" priority="3202" id="{A90AEEAA-B7D6-44C0-95C3-3B11855E7489}">
            <xm:f>AND(IF(J167&gt;'F:\Users\norela.briceno\Documents\Plan de acción\Plan Accion 2018\[Plan Accion Integrado ADRES Vigencia 2018 con Cuadro de Mando V6..xlsx]Plan de Accion 2018'!#REF!,J167&lt;&gt;¨N/A¨))</xm:f>
            <x14:dxf>
              <fill>
                <patternFill>
                  <bgColor theme="1" tint="0.499984740745262"/>
                </patternFill>
              </fill>
            </x14:dxf>
          </x14:cfRule>
          <x14:cfRule type="expression" priority="3203" stopIfTrue="1" id="{6861F00B-5533-44BC-AF35-BB5D3E8D5A68}">
            <xm:f>AND(IF(J167='F:\Users\norela.briceno\Documents\Plan de acción\Plan Accion 2018\[Plan Accion Integrado ADRES Vigencia 2018 con Cuadro de Mando V6..xlsx]Plan de Accion 2018'!#REF!,J167&lt;&gt;"N/A"))</xm:f>
            <x14:dxf>
              <fill>
                <patternFill>
                  <bgColor rgb="FF00B050"/>
                </patternFill>
              </fill>
            </x14:dxf>
          </x14:cfRule>
          <x14:cfRule type="expression" priority="3204" stopIfTrue="1" id="{D313A976-C0B4-4E33-A613-6962B0699DCF}">
            <xm:f>AND(IF(J167&lt;'F:\Users\norela.briceno\Documents\Plan de acción\Plan Accion 2018\[Plan Accion Integrado ADRES Vigencia 2018 con Cuadro de Mando V6..xlsx]Plan de Accion 2018'!#REF!,J167&lt;&gt;"N/A"))</xm:f>
            <x14:dxf>
              <fill>
                <patternFill>
                  <bgColor indexed="10"/>
                </patternFill>
              </fill>
            </x14:dxf>
          </x14:cfRule>
          <xm:sqref>J167</xm:sqref>
        </x14:conditionalFormatting>
        <x14:conditionalFormatting xmlns:xm="http://schemas.microsoft.com/office/excel/2006/main">
          <x14:cfRule type="expression" priority="3199" id="{06971972-D215-4D6E-BA39-804A40BC2AC6}">
            <xm:f>AND(IF(Q167&gt;'F:\Users\norela.briceno\Documents\Plan de acción\Plan Accion 2018\[Plan Accion Integrado ADRES Vigencia 2018 con Cuadro de Mando V6..xlsx]Plan de Accion 2018'!#REF!,Q167&lt;&gt;¨N/A¨))</xm:f>
            <x14:dxf>
              <fill>
                <patternFill>
                  <bgColor theme="1" tint="0.499984740745262"/>
                </patternFill>
              </fill>
            </x14:dxf>
          </x14:cfRule>
          <x14:cfRule type="expression" priority="3200" stopIfTrue="1" id="{88C86DDE-6D3F-4402-BC2E-7A7E890D989B}">
            <xm:f>AND(IF(Q167='F:\Users\norela.briceno\Documents\Plan de acción\Plan Accion 2018\[Plan Accion Integrado ADRES Vigencia 2018 con Cuadro de Mando V6..xlsx]Plan de Accion 2018'!#REF!,Q167&lt;&gt;"N/A"))</xm:f>
            <x14:dxf>
              <fill>
                <patternFill>
                  <bgColor rgb="FF00B050"/>
                </patternFill>
              </fill>
            </x14:dxf>
          </x14:cfRule>
          <x14:cfRule type="expression" priority="3201" stopIfTrue="1" id="{A341B50B-699B-4D3E-8399-B9E7DA204405}">
            <xm:f>AND(IF(Q167&lt;'F:\Users\norela.briceno\Documents\Plan de acción\Plan Accion 2018\[Plan Accion Integrado ADRES Vigencia 2018 con Cuadro de Mando V6..xlsx]Plan de Accion 2018'!#REF!,Q167&lt;&gt;"N/A"))</xm:f>
            <x14:dxf>
              <fill>
                <patternFill>
                  <bgColor indexed="10"/>
                </patternFill>
              </fill>
            </x14:dxf>
          </x14:cfRule>
          <xm:sqref>Q167</xm:sqref>
        </x14:conditionalFormatting>
        <x14:conditionalFormatting xmlns:xm="http://schemas.microsoft.com/office/excel/2006/main">
          <x14:cfRule type="expression" priority="3196" id="{8EA6C477-543C-489C-B0DB-949DEC23DFF5}">
            <xm:f>AND(IF(X167&gt;'F:\Users\norela.briceno\Documents\Plan de acción\Plan Accion 2018\[Plan Accion Integrado ADRES Vigencia 2018 con Cuadro de Mando V6..xlsx]Plan de Accion 2018'!#REF!,X167&lt;&gt;¨N/A¨))</xm:f>
            <x14:dxf>
              <fill>
                <patternFill>
                  <bgColor theme="1" tint="0.499984740745262"/>
                </patternFill>
              </fill>
            </x14:dxf>
          </x14:cfRule>
          <x14:cfRule type="expression" priority="3197" stopIfTrue="1" id="{F6A65E21-639A-4F96-9E45-BEAFB69DD10F}">
            <xm:f>AND(IF(X167='F:\Users\norela.briceno\Documents\Plan de acción\Plan Accion 2018\[Plan Accion Integrado ADRES Vigencia 2018 con Cuadro de Mando V6..xlsx]Plan de Accion 2018'!#REF!,X167&lt;&gt;"N/A"))</xm:f>
            <x14:dxf>
              <fill>
                <patternFill>
                  <bgColor rgb="FF00B050"/>
                </patternFill>
              </fill>
            </x14:dxf>
          </x14:cfRule>
          <x14:cfRule type="expression" priority="3198" stopIfTrue="1" id="{EE3F1E07-4B1B-4C62-BC60-F282E88DB99D}">
            <xm:f>AND(IF(X167&lt;'F:\Users\norela.briceno\Documents\Plan de acción\Plan Accion 2018\[Plan Accion Integrado ADRES Vigencia 2018 con Cuadro de Mando V6..xlsx]Plan de Accion 2018'!#REF!,X167&lt;&gt;"N/A"))</xm:f>
            <x14:dxf>
              <fill>
                <patternFill>
                  <bgColor indexed="10"/>
                </patternFill>
              </fill>
            </x14:dxf>
          </x14:cfRule>
          <xm:sqref>X167</xm:sqref>
        </x14:conditionalFormatting>
        <x14:conditionalFormatting xmlns:xm="http://schemas.microsoft.com/office/excel/2006/main">
          <x14:cfRule type="expression" priority="3193" id="{18127477-04E1-422A-93D1-DE757E067D45}">
            <xm:f>AND(IF(AE167&gt;'F:\Users\norela.briceno\Documents\Plan de acción\Plan Accion 2018\[Plan Accion Integrado ADRES Vigencia 2018 con Cuadro de Mando V6..xlsx]Plan de Accion 2018'!#REF!,AE167&lt;&gt;¨N/A¨))</xm:f>
            <x14:dxf>
              <fill>
                <patternFill>
                  <bgColor theme="1" tint="0.499984740745262"/>
                </patternFill>
              </fill>
            </x14:dxf>
          </x14:cfRule>
          <x14:cfRule type="expression" priority="3194" stopIfTrue="1" id="{E73F013B-5C86-42C9-9946-5D382CC371ED}">
            <xm:f>AND(IF(AE167='F:\Users\norela.briceno\Documents\Plan de acción\Plan Accion 2018\[Plan Accion Integrado ADRES Vigencia 2018 con Cuadro de Mando V6..xlsx]Plan de Accion 2018'!#REF!,AE167&lt;&gt;"N/A"))</xm:f>
            <x14:dxf>
              <fill>
                <patternFill>
                  <bgColor rgb="FF00B050"/>
                </patternFill>
              </fill>
            </x14:dxf>
          </x14:cfRule>
          <x14:cfRule type="expression" priority="3195" stopIfTrue="1" id="{56707A23-3782-4809-8650-BF46CB3AC6EC}">
            <xm:f>AND(IF(AE167&lt;'F:\Users\norela.briceno\Documents\Plan de acción\Plan Accion 2018\[Plan Accion Integrado ADRES Vigencia 2018 con Cuadro de Mando V6..xlsx]Plan de Accion 2018'!#REF!,AE167&lt;&gt;"N/A"))</xm:f>
            <x14:dxf>
              <fill>
                <patternFill>
                  <bgColor indexed="10"/>
                </patternFill>
              </fill>
            </x14:dxf>
          </x14:cfRule>
          <xm:sqref>AE167</xm:sqref>
        </x14:conditionalFormatting>
        <x14:conditionalFormatting xmlns:xm="http://schemas.microsoft.com/office/excel/2006/main">
          <x14:cfRule type="expression" priority="3098" id="{02C33234-171D-4F43-B510-75DC58EC9BA3}">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3099" stopIfTrue="1" id="{B4E0A2B6-93A8-406B-A71C-2E8C2AEC29C4}">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3100" stopIfTrue="1" id="{019E6C98-FC64-417C-AACC-0B49E66096A0}">
            <xm:f>AND(IF(J238&lt;'F:\Users\norela.briceno\Documents\Plan de acción\Plan Accion 2018\[Plan Accion Integrado ADRES Vigencia 2018 con Cuadro de Mando V6..xlsx]Plan de Accion 2018'!#REF!,J238&lt;&gt;"N/A"))</xm:f>
            <x14:dxf>
              <fill>
                <patternFill>
                  <bgColor indexed="10"/>
                </patternFill>
              </fill>
            </x14:dxf>
          </x14:cfRule>
          <xm:sqref>J238</xm:sqref>
        </x14:conditionalFormatting>
        <x14:conditionalFormatting xmlns:xm="http://schemas.microsoft.com/office/excel/2006/main">
          <x14:cfRule type="expression" priority="3095" id="{E45A54E8-6DF1-4047-A9EC-2A08FCE9F572}">
            <xm:f>AND(IF(Q238&gt;'F:\Users\norela.briceno\Documents\Plan de acción\Plan Accion 2018\[Plan Accion Integrado ADRES Vigencia 2018 con Cuadro de Mando V6..xlsx]Plan de Accion 2018'!#REF!,Q238&lt;&gt;¨N/A¨))</xm:f>
            <x14:dxf>
              <fill>
                <patternFill>
                  <bgColor theme="1" tint="0.499984740745262"/>
                </patternFill>
              </fill>
            </x14:dxf>
          </x14:cfRule>
          <x14:cfRule type="expression" priority="3096" stopIfTrue="1" id="{26568D78-234B-456B-90B4-C7EC27C68D19}">
            <xm:f>AND(IF(Q238='F:\Users\norela.briceno\Documents\Plan de acción\Plan Accion 2018\[Plan Accion Integrado ADRES Vigencia 2018 con Cuadro de Mando V6..xlsx]Plan de Accion 2018'!#REF!,Q238&lt;&gt;"N/A"))</xm:f>
            <x14:dxf>
              <fill>
                <patternFill>
                  <bgColor rgb="FF00B050"/>
                </patternFill>
              </fill>
            </x14:dxf>
          </x14:cfRule>
          <x14:cfRule type="expression" priority="3097" stopIfTrue="1" id="{2E2824FE-1FD6-4ADE-B5CE-46B98BF6E6C5}">
            <xm:f>AND(IF(Q238&lt;'F:\Users\norela.briceno\Documents\Plan de acción\Plan Accion 2018\[Plan Accion Integrado ADRES Vigencia 2018 con Cuadro de Mando V6..xlsx]Plan de Accion 2018'!#REF!,Q238&lt;&gt;"N/A"))</xm:f>
            <x14:dxf>
              <fill>
                <patternFill>
                  <bgColor indexed="10"/>
                </patternFill>
              </fill>
            </x14:dxf>
          </x14:cfRule>
          <xm:sqref>Q238</xm:sqref>
        </x14:conditionalFormatting>
        <x14:conditionalFormatting xmlns:xm="http://schemas.microsoft.com/office/excel/2006/main">
          <x14:cfRule type="expression" priority="3092" id="{728F53F8-EA20-4DEB-80B1-159409E285E3}">
            <xm:f>AND(IF(X238&gt;'F:\Users\norela.briceno\Documents\Plan de acción\Plan Accion 2018\[Plan Accion Integrado ADRES Vigencia 2018 con Cuadro de Mando V6..xlsx]Plan de Accion 2018'!#REF!,X238&lt;&gt;¨N/A¨))</xm:f>
            <x14:dxf>
              <fill>
                <patternFill>
                  <bgColor theme="1" tint="0.499984740745262"/>
                </patternFill>
              </fill>
            </x14:dxf>
          </x14:cfRule>
          <x14:cfRule type="expression" priority="3093" stopIfTrue="1" id="{C57F910F-9BFD-4C55-9C65-16CAF3C15DA9}">
            <xm:f>AND(IF(X238='F:\Users\norela.briceno\Documents\Plan de acción\Plan Accion 2018\[Plan Accion Integrado ADRES Vigencia 2018 con Cuadro de Mando V6..xlsx]Plan de Accion 2018'!#REF!,X238&lt;&gt;"N/A"))</xm:f>
            <x14:dxf>
              <fill>
                <patternFill>
                  <bgColor rgb="FF00B050"/>
                </patternFill>
              </fill>
            </x14:dxf>
          </x14:cfRule>
          <x14:cfRule type="expression" priority="3094" stopIfTrue="1" id="{B983F737-FDC9-4EDF-A298-CDC320267CC2}">
            <xm:f>AND(IF(X238&lt;'F:\Users\norela.briceno\Documents\Plan de acción\Plan Accion 2018\[Plan Accion Integrado ADRES Vigencia 2018 con Cuadro de Mando V6..xlsx]Plan de Accion 2018'!#REF!,X238&lt;&gt;"N/A"))</xm:f>
            <x14:dxf>
              <fill>
                <patternFill>
                  <bgColor indexed="10"/>
                </patternFill>
              </fill>
            </x14:dxf>
          </x14:cfRule>
          <xm:sqref>X238</xm:sqref>
        </x14:conditionalFormatting>
        <x14:conditionalFormatting xmlns:xm="http://schemas.microsoft.com/office/excel/2006/main">
          <x14:cfRule type="expression" priority="3089" id="{E3185B19-EDC7-4032-AF45-E4A0EA4188B0}">
            <xm:f>AND(IF(AE238&gt;'F:\Users\norela.briceno\Documents\Plan de acción\Plan Accion 2018\[Plan Accion Integrado ADRES Vigencia 2018 con Cuadro de Mando V6..xlsx]Plan de Accion 2018'!#REF!,AE238&lt;&gt;¨N/A¨))</xm:f>
            <x14:dxf>
              <fill>
                <patternFill>
                  <bgColor theme="1" tint="0.499984740745262"/>
                </patternFill>
              </fill>
            </x14:dxf>
          </x14:cfRule>
          <x14:cfRule type="expression" priority="3090" stopIfTrue="1" id="{B37C0324-109A-4806-8250-54AF5E404520}">
            <xm:f>AND(IF(AE238='F:\Users\norela.briceno\Documents\Plan de acción\Plan Accion 2018\[Plan Accion Integrado ADRES Vigencia 2018 con Cuadro de Mando V6..xlsx]Plan de Accion 2018'!#REF!,AE238&lt;&gt;"N/A"))</xm:f>
            <x14:dxf>
              <fill>
                <patternFill>
                  <bgColor rgb="FF00B050"/>
                </patternFill>
              </fill>
            </x14:dxf>
          </x14:cfRule>
          <x14:cfRule type="expression" priority="3091" stopIfTrue="1" id="{960AA39A-FB85-43A9-9125-3A5FAE5E753E}">
            <xm:f>AND(IF(AE238&lt;'F:\Users\norela.briceno\Documents\Plan de acción\Plan Accion 2018\[Plan Accion Integrado ADRES Vigencia 2018 con Cuadro de Mando V6..xlsx]Plan de Accion 2018'!#REF!,AE238&lt;&gt;"N/A"))</xm:f>
            <x14:dxf>
              <fill>
                <patternFill>
                  <bgColor indexed="10"/>
                </patternFill>
              </fill>
            </x14:dxf>
          </x14:cfRule>
          <xm:sqref>AE238</xm:sqref>
        </x14:conditionalFormatting>
        <x14:conditionalFormatting xmlns:xm="http://schemas.microsoft.com/office/excel/2006/main">
          <x14:cfRule type="expression" priority="3150" id="{840D8F4E-9E29-472F-B003-2B6939BA1389}">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3151" stopIfTrue="1" id="{8821FFD7-72B0-4F05-A489-DD3C5522C0AC}">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3152" stopIfTrue="1" id="{5A86C4E5-ABD3-4BDE-84DB-F5A2857182B5}">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3147" id="{E5FCAF73-DFF6-48AC-8BBD-222B113C973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3148" stopIfTrue="1" id="{E61A0BBB-8403-4B50-B311-117FE097946A}">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3149" stopIfTrue="1" id="{E25472CE-8FE8-4276-91D2-6C325A46E50C}">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3144" id="{54DFA993-14A5-4AD3-94CE-7D03ED13F2F4}">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3145" stopIfTrue="1" id="{1481BFB0-A4AD-4039-AB0A-26FC0F909AFC}">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3146" stopIfTrue="1" id="{A083EA89-E044-41A0-ACAB-C1EE72181E6E}">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3141" id="{7365FF77-437B-4D8E-8D9C-A320C27E2432}">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3142" stopIfTrue="1" id="{EA7CFD54-ED7D-43B4-865E-379E2488D9CF}">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3143" stopIfTrue="1" id="{BB3D524B-54F8-4825-A920-CF5CB5780BAC}">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3026" id="{06468BE9-3687-4F1B-B44D-BECD811D2F63}">
            <xm:f>AND(IF(J135&gt;'F:\Users\norela.briceno\Documents\Plan de acción\Plan Accion 2018\[Plan Accion Integrado ADRES Vigencia 2018 con Cuadro de Mando V6..xlsx]Plan de Accion 2018'!#REF!,J135&lt;&gt;¨N/A¨))</xm:f>
            <x14:dxf>
              <fill>
                <patternFill>
                  <bgColor theme="1" tint="0.499984740745262"/>
                </patternFill>
              </fill>
            </x14:dxf>
          </x14:cfRule>
          <x14:cfRule type="expression" priority="3027" stopIfTrue="1" id="{D2095F11-8BD8-45D6-BA2A-43B56C9EFB9F}">
            <xm:f>AND(IF(J135='F:\Users\norela.briceno\Documents\Plan de acción\Plan Accion 2018\[Plan Accion Integrado ADRES Vigencia 2018 con Cuadro de Mando V6..xlsx]Plan de Accion 2018'!#REF!,J135&lt;&gt;"N/A"))</xm:f>
            <x14:dxf>
              <fill>
                <patternFill>
                  <bgColor rgb="FF00B050"/>
                </patternFill>
              </fill>
            </x14:dxf>
          </x14:cfRule>
          <x14:cfRule type="expression" priority="3028" stopIfTrue="1" id="{A872340C-C505-4B08-9AD6-FBA5A9CFD471}">
            <xm:f>AND(IF(J135&lt;'F:\Users\norela.briceno\Documents\Plan de acción\Plan Accion 2018\[Plan Accion Integrado ADRES Vigencia 2018 con Cuadro de Mando V6..xlsx]Plan de Accion 2018'!#REF!,J135&lt;&gt;"N/A"))</xm:f>
            <x14:dxf>
              <fill>
                <patternFill>
                  <bgColor indexed="10"/>
                </patternFill>
              </fill>
            </x14:dxf>
          </x14:cfRule>
          <xm:sqref>J135</xm:sqref>
        </x14:conditionalFormatting>
        <x14:conditionalFormatting xmlns:xm="http://schemas.microsoft.com/office/excel/2006/main">
          <x14:cfRule type="expression" priority="3023" id="{BC439988-F28F-48FF-A971-558C1218E3C8}">
            <xm:f>AND(IF(Q135&gt;'F:\Users\norela.briceno\Documents\Plan de acción\Plan Accion 2018\[Plan Accion Integrado ADRES Vigencia 2018 con Cuadro de Mando V6..xlsx]Plan de Accion 2018'!#REF!,Q135&lt;&gt;¨N/A¨))</xm:f>
            <x14:dxf>
              <fill>
                <patternFill>
                  <bgColor theme="1" tint="0.499984740745262"/>
                </patternFill>
              </fill>
            </x14:dxf>
          </x14:cfRule>
          <x14:cfRule type="expression" priority="3024" stopIfTrue="1" id="{4AB83D62-61C2-4511-AB28-47FAEB99D28C}">
            <xm:f>AND(IF(Q135='F:\Users\norela.briceno\Documents\Plan de acción\Plan Accion 2018\[Plan Accion Integrado ADRES Vigencia 2018 con Cuadro de Mando V6..xlsx]Plan de Accion 2018'!#REF!,Q135&lt;&gt;"N/A"))</xm:f>
            <x14:dxf>
              <fill>
                <patternFill>
                  <bgColor rgb="FF00B050"/>
                </patternFill>
              </fill>
            </x14:dxf>
          </x14:cfRule>
          <x14:cfRule type="expression" priority="3025" stopIfTrue="1" id="{14DBC476-3C92-453E-A4AC-70AF6D83753E}">
            <xm:f>AND(IF(Q135&lt;'F:\Users\norela.briceno\Documents\Plan de acción\Plan Accion 2018\[Plan Accion Integrado ADRES Vigencia 2018 con Cuadro de Mando V6..xlsx]Plan de Accion 2018'!#REF!,Q135&lt;&gt;"N/A"))</xm:f>
            <x14:dxf>
              <fill>
                <patternFill>
                  <bgColor indexed="10"/>
                </patternFill>
              </fill>
            </x14:dxf>
          </x14:cfRule>
          <xm:sqref>Q135</xm:sqref>
        </x14:conditionalFormatting>
        <x14:conditionalFormatting xmlns:xm="http://schemas.microsoft.com/office/excel/2006/main">
          <x14:cfRule type="expression" priority="3020" id="{6341A248-9F2D-4670-8E68-A9A43A588E91}">
            <xm:f>AND(IF(X135&gt;'F:\Users\norela.briceno\Documents\Plan de acción\Plan Accion 2018\[Plan Accion Integrado ADRES Vigencia 2018 con Cuadro de Mando V6..xlsx]Plan de Accion 2018'!#REF!,X135&lt;&gt;¨N/A¨))</xm:f>
            <x14:dxf>
              <fill>
                <patternFill>
                  <bgColor theme="1" tint="0.499984740745262"/>
                </patternFill>
              </fill>
            </x14:dxf>
          </x14:cfRule>
          <x14:cfRule type="expression" priority="3021" stopIfTrue="1" id="{26BCF0B2-5CBF-42B9-9D8E-8BC919189ECE}">
            <xm:f>AND(IF(X135='F:\Users\norela.briceno\Documents\Plan de acción\Plan Accion 2018\[Plan Accion Integrado ADRES Vigencia 2018 con Cuadro de Mando V6..xlsx]Plan de Accion 2018'!#REF!,X135&lt;&gt;"N/A"))</xm:f>
            <x14:dxf>
              <fill>
                <patternFill>
                  <bgColor rgb="FF00B050"/>
                </patternFill>
              </fill>
            </x14:dxf>
          </x14:cfRule>
          <x14:cfRule type="expression" priority="3022" stopIfTrue="1" id="{9C7E53CC-3023-4B51-BD5E-4C78A0140849}">
            <xm:f>AND(IF(X135&lt;'F:\Users\norela.briceno\Documents\Plan de acción\Plan Accion 2018\[Plan Accion Integrado ADRES Vigencia 2018 con Cuadro de Mando V6..xlsx]Plan de Accion 2018'!#REF!,X135&lt;&gt;"N/A"))</xm:f>
            <x14:dxf>
              <fill>
                <patternFill>
                  <bgColor indexed="10"/>
                </patternFill>
              </fill>
            </x14:dxf>
          </x14:cfRule>
          <xm:sqref>X135</xm:sqref>
        </x14:conditionalFormatting>
        <x14:conditionalFormatting xmlns:xm="http://schemas.microsoft.com/office/excel/2006/main">
          <x14:cfRule type="expression" priority="3017" id="{9EFD7EA3-E197-42F1-B0A9-04EF17624E75}">
            <xm:f>AND(IF(AE135&gt;'F:\Users\norela.briceno\Documents\Plan de acción\Plan Accion 2018\[Plan Accion Integrado ADRES Vigencia 2018 con Cuadro de Mando V6..xlsx]Plan de Accion 2018'!#REF!,AE135&lt;&gt;¨N/A¨))</xm:f>
            <x14:dxf>
              <fill>
                <patternFill>
                  <bgColor theme="1" tint="0.499984740745262"/>
                </patternFill>
              </fill>
            </x14:dxf>
          </x14:cfRule>
          <x14:cfRule type="expression" priority="3018" stopIfTrue="1" id="{72B65787-C1F2-4064-9B12-B1F72446755F}">
            <xm:f>AND(IF(AE135='F:\Users\norela.briceno\Documents\Plan de acción\Plan Accion 2018\[Plan Accion Integrado ADRES Vigencia 2018 con Cuadro de Mando V6..xlsx]Plan de Accion 2018'!#REF!,AE135&lt;&gt;"N/A"))</xm:f>
            <x14:dxf>
              <fill>
                <patternFill>
                  <bgColor rgb="FF00B050"/>
                </patternFill>
              </fill>
            </x14:dxf>
          </x14:cfRule>
          <x14:cfRule type="expression" priority="3019" stopIfTrue="1" id="{620C08F6-501F-4BD6-B3DB-2BAF4997D441}">
            <xm:f>AND(IF(AE135&lt;'F:\Users\norela.briceno\Documents\Plan de acción\Plan Accion 2018\[Plan Accion Integrado ADRES Vigencia 2018 con Cuadro de Mando V6..xlsx]Plan de Accion 2018'!#REF!,AE135&lt;&gt;"N/A"))</xm:f>
            <x14:dxf>
              <fill>
                <patternFill>
                  <bgColor indexed="10"/>
                </patternFill>
              </fill>
            </x14:dxf>
          </x14:cfRule>
          <xm:sqref>AE135</xm:sqref>
        </x14:conditionalFormatting>
        <x14:conditionalFormatting xmlns:xm="http://schemas.microsoft.com/office/excel/2006/main">
          <x14:cfRule type="expression" priority="2939" id="{7E7AB151-3D6C-4513-B021-F42A840D26E0}">
            <xm:f>AND(IF(J202&gt;'F:\Users\norela.briceno\Documents\Plan de acción\Plan Accion 2018\[Plan Accion Integrado ADRES Vigencia 2018 con Cuadro de Mando V6..xlsx]Plan de Accion 2018'!#REF!,J202&lt;&gt;¨N/A¨))</xm:f>
            <x14:dxf>
              <fill>
                <patternFill>
                  <bgColor theme="1" tint="0.499984740745262"/>
                </patternFill>
              </fill>
            </x14:dxf>
          </x14:cfRule>
          <x14:cfRule type="expression" priority="2940" stopIfTrue="1" id="{59F0D56A-FE5D-4A8B-AD24-602F54F40590}">
            <xm:f>AND(IF(J202='F:\Users\norela.briceno\Documents\Plan de acción\Plan Accion 2018\[Plan Accion Integrado ADRES Vigencia 2018 con Cuadro de Mando V6..xlsx]Plan de Accion 2018'!#REF!,J202&lt;&gt;"N/A"))</xm:f>
            <x14:dxf>
              <fill>
                <patternFill>
                  <bgColor rgb="FF00B050"/>
                </patternFill>
              </fill>
            </x14:dxf>
          </x14:cfRule>
          <x14:cfRule type="expression" priority="2941" stopIfTrue="1" id="{7249F1C4-97C5-4A1B-A12F-7248B1B45919}">
            <xm:f>AND(IF(J202&lt;'F:\Users\norela.briceno\Documents\Plan de acción\Plan Accion 2018\[Plan Accion Integrado ADRES Vigencia 2018 con Cuadro de Mando V6..xlsx]Plan de Accion 2018'!#REF!,J202&lt;&gt;"N/A"))</xm:f>
            <x14:dxf>
              <fill>
                <patternFill>
                  <bgColor indexed="10"/>
                </patternFill>
              </fill>
            </x14:dxf>
          </x14:cfRule>
          <xm:sqref>J202</xm:sqref>
        </x14:conditionalFormatting>
        <x14:conditionalFormatting xmlns:xm="http://schemas.microsoft.com/office/excel/2006/main">
          <x14:cfRule type="expression" priority="2936" id="{022E460B-554E-4D0D-9FB8-77C2F45285E3}">
            <xm:f>AND(IF(Q202&gt;'F:\Users\norela.briceno\Documents\Plan de acción\Plan Accion 2018\[Plan Accion Integrado ADRES Vigencia 2018 con Cuadro de Mando V6..xlsx]Plan de Accion 2018'!#REF!,Q202&lt;&gt;¨N/A¨))</xm:f>
            <x14:dxf>
              <fill>
                <patternFill>
                  <bgColor theme="1" tint="0.499984740745262"/>
                </patternFill>
              </fill>
            </x14:dxf>
          </x14:cfRule>
          <x14:cfRule type="expression" priority="2937" stopIfTrue="1" id="{9A5DE432-9A6E-40AE-9FBE-137DF9FDF707}">
            <xm:f>AND(IF(Q202='F:\Users\norela.briceno\Documents\Plan de acción\Plan Accion 2018\[Plan Accion Integrado ADRES Vigencia 2018 con Cuadro de Mando V6..xlsx]Plan de Accion 2018'!#REF!,Q202&lt;&gt;"N/A"))</xm:f>
            <x14:dxf>
              <fill>
                <patternFill>
                  <bgColor rgb="FF00B050"/>
                </patternFill>
              </fill>
            </x14:dxf>
          </x14:cfRule>
          <x14:cfRule type="expression" priority="2938" stopIfTrue="1" id="{70A43652-CA96-4311-AE5C-4670908E8BB3}">
            <xm:f>AND(IF(Q202&lt;'F:\Users\norela.briceno\Documents\Plan de acción\Plan Accion 2018\[Plan Accion Integrado ADRES Vigencia 2018 con Cuadro de Mando V6..xlsx]Plan de Accion 2018'!#REF!,Q202&lt;&gt;"N/A"))</xm:f>
            <x14:dxf>
              <fill>
                <patternFill>
                  <bgColor indexed="10"/>
                </patternFill>
              </fill>
            </x14:dxf>
          </x14:cfRule>
          <xm:sqref>Q202</xm:sqref>
        </x14:conditionalFormatting>
        <x14:conditionalFormatting xmlns:xm="http://schemas.microsoft.com/office/excel/2006/main">
          <x14:cfRule type="expression" priority="2933" id="{2A5C1EEA-C5AB-4981-873B-F18DC4A52A36}">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2934" stopIfTrue="1" id="{B42B77E8-9FAB-4809-BC46-A119943472FF}">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2935" stopIfTrue="1" id="{405C68F7-B42D-4C8C-8013-0999BE5F6F40}">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2930" id="{D41205CA-355E-418B-8B0A-161974307BA1}">
            <xm:f>AND(IF(AE202&gt;'F:\Users\norela.briceno\Documents\Plan de acción\Plan Accion 2018\[Plan Accion Integrado ADRES Vigencia 2018 con Cuadro de Mando V6..xlsx]Plan de Accion 2018'!#REF!,AE202&lt;&gt;¨N/A¨))</xm:f>
            <x14:dxf>
              <fill>
                <patternFill>
                  <bgColor theme="1" tint="0.499984740745262"/>
                </patternFill>
              </fill>
            </x14:dxf>
          </x14:cfRule>
          <x14:cfRule type="expression" priority="2931" stopIfTrue="1" id="{5B694BE4-F5D1-4198-8A10-331178904DDE}">
            <xm:f>AND(IF(AE202='F:\Users\norela.briceno\Documents\Plan de acción\Plan Accion 2018\[Plan Accion Integrado ADRES Vigencia 2018 con Cuadro de Mando V6..xlsx]Plan de Accion 2018'!#REF!,AE202&lt;&gt;"N/A"))</xm:f>
            <x14:dxf>
              <fill>
                <patternFill>
                  <bgColor rgb="FF00B050"/>
                </patternFill>
              </fill>
            </x14:dxf>
          </x14:cfRule>
          <x14:cfRule type="expression" priority="2932" stopIfTrue="1" id="{8C40F4F2-26BB-4563-988F-600432512AD2}">
            <xm:f>AND(IF(AE202&lt;'F:\Users\norela.briceno\Documents\Plan de acción\Plan Accion 2018\[Plan Accion Integrado ADRES Vigencia 2018 con Cuadro de Mando V6..xlsx]Plan de Accion 2018'!#REF!,AE202&lt;&gt;"N/A"))</xm:f>
            <x14:dxf>
              <fill>
                <patternFill>
                  <bgColor indexed="10"/>
                </patternFill>
              </fill>
            </x14:dxf>
          </x14:cfRule>
          <xm:sqref>AE202</xm:sqref>
        </x14:conditionalFormatting>
        <x14:conditionalFormatting xmlns:xm="http://schemas.microsoft.com/office/excel/2006/main">
          <x14:cfRule type="expression" priority="2800" id="{7DBC2EA4-C368-41FA-8947-15C1B157C7EB}">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2801" stopIfTrue="1" id="{91C23219-C55E-41CC-918E-17917FECE8CA}">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2802" stopIfTrue="1" id="{3CEBBA74-0B16-49DD-AF92-F7883436DD49}">
            <xm:f>AND(IF(J153&lt;'F:\Users\norela.briceno\Documents\Plan de acción\Plan Accion 2018\[Plan Accion Integrado ADRES Vigencia 2018 con Cuadro de Mando V6..xlsx]Plan de Accion 2018'!#REF!,J153&lt;&gt;"N/A"))</xm:f>
            <x14:dxf>
              <fill>
                <patternFill>
                  <bgColor indexed="10"/>
                </patternFill>
              </fill>
            </x14:dxf>
          </x14:cfRule>
          <xm:sqref>J153</xm:sqref>
        </x14:conditionalFormatting>
        <x14:conditionalFormatting xmlns:xm="http://schemas.microsoft.com/office/excel/2006/main">
          <x14:cfRule type="expression" priority="2797" id="{2C002E7F-8CBD-4CA6-AA13-54F09B4C4789}">
            <xm:f>AND(IF(Q153&gt;'F:\Users\norela.briceno\Documents\Plan de acción\Plan Accion 2018\[Plan Accion Integrado ADRES Vigencia 2018 con Cuadro de Mando V6..xlsx]Plan de Accion 2018'!#REF!,Q153&lt;&gt;¨N/A¨))</xm:f>
            <x14:dxf>
              <fill>
                <patternFill>
                  <bgColor theme="1" tint="0.499984740745262"/>
                </patternFill>
              </fill>
            </x14:dxf>
          </x14:cfRule>
          <x14:cfRule type="expression" priority="2798" stopIfTrue="1" id="{7C782CFC-2201-43D5-B96A-9FB31E7FD56F}">
            <xm:f>AND(IF(Q153='F:\Users\norela.briceno\Documents\Plan de acción\Plan Accion 2018\[Plan Accion Integrado ADRES Vigencia 2018 con Cuadro de Mando V6..xlsx]Plan de Accion 2018'!#REF!,Q153&lt;&gt;"N/A"))</xm:f>
            <x14:dxf>
              <fill>
                <patternFill>
                  <bgColor rgb="FF00B050"/>
                </patternFill>
              </fill>
            </x14:dxf>
          </x14:cfRule>
          <x14:cfRule type="expression" priority="2799" stopIfTrue="1" id="{464CA1D9-0765-440A-8058-E53144B4F8D2}">
            <xm:f>AND(IF(Q153&lt;'F:\Users\norela.briceno\Documents\Plan de acción\Plan Accion 2018\[Plan Accion Integrado ADRES Vigencia 2018 con Cuadro de Mando V6..xlsx]Plan de Accion 2018'!#REF!,Q153&lt;&gt;"N/A"))</xm:f>
            <x14:dxf>
              <fill>
                <patternFill>
                  <bgColor indexed="10"/>
                </patternFill>
              </fill>
            </x14:dxf>
          </x14:cfRule>
          <xm:sqref>Q153</xm:sqref>
        </x14:conditionalFormatting>
        <x14:conditionalFormatting xmlns:xm="http://schemas.microsoft.com/office/excel/2006/main">
          <x14:cfRule type="expression" priority="2794" id="{2BB169EF-5EB7-43D8-8CC7-4A4872365A0B}">
            <xm:f>AND(IF(X153&gt;'F:\Users\norela.briceno\Documents\Plan de acción\Plan Accion 2018\[Plan Accion Integrado ADRES Vigencia 2018 con Cuadro de Mando V6..xlsx]Plan de Accion 2018'!#REF!,X153&lt;&gt;¨N/A¨))</xm:f>
            <x14:dxf>
              <fill>
                <patternFill>
                  <bgColor theme="1" tint="0.499984740745262"/>
                </patternFill>
              </fill>
            </x14:dxf>
          </x14:cfRule>
          <x14:cfRule type="expression" priority="2795" stopIfTrue="1" id="{FFFC77B1-E25A-4411-9057-2295F8B907E5}">
            <xm:f>AND(IF(X153='F:\Users\norela.briceno\Documents\Plan de acción\Plan Accion 2018\[Plan Accion Integrado ADRES Vigencia 2018 con Cuadro de Mando V6..xlsx]Plan de Accion 2018'!#REF!,X153&lt;&gt;"N/A"))</xm:f>
            <x14:dxf>
              <fill>
                <patternFill>
                  <bgColor rgb="FF00B050"/>
                </patternFill>
              </fill>
            </x14:dxf>
          </x14:cfRule>
          <x14:cfRule type="expression" priority="2796" stopIfTrue="1" id="{9F93C8A1-E3F1-4C6B-B92A-428518A13272}">
            <xm:f>AND(IF(X153&lt;'F:\Users\norela.briceno\Documents\Plan de acción\Plan Accion 2018\[Plan Accion Integrado ADRES Vigencia 2018 con Cuadro de Mando V6..xlsx]Plan de Accion 2018'!#REF!,X153&lt;&gt;"N/A"))</xm:f>
            <x14:dxf>
              <fill>
                <patternFill>
                  <bgColor indexed="10"/>
                </patternFill>
              </fill>
            </x14:dxf>
          </x14:cfRule>
          <xm:sqref>X153</xm:sqref>
        </x14:conditionalFormatting>
        <x14:conditionalFormatting xmlns:xm="http://schemas.microsoft.com/office/excel/2006/main">
          <x14:cfRule type="expression" priority="2791" id="{7C5E6692-CF7E-4787-8049-B7C7561AB91C}">
            <xm:f>AND(IF(AE153&gt;'F:\Users\norela.briceno\Documents\Plan de acción\Plan Accion 2018\[Plan Accion Integrado ADRES Vigencia 2018 con Cuadro de Mando V6..xlsx]Plan de Accion 2018'!#REF!,AE153&lt;&gt;¨N/A¨))</xm:f>
            <x14:dxf>
              <fill>
                <patternFill>
                  <bgColor theme="1" tint="0.499984740745262"/>
                </patternFill>
              </fill>
            </x14:dxf>
          </x14:cfRule>
          <x14:cfRule type="expression" priority="2792" stopIfTrue="1" id="{E3BAE310-B783-4D55-A2A8-4F10545C3161}">
            <xm:f>AND(IF(AE153='F:\Users\norela.briceno\Documents\Plan de acción\Plan Accion 2018\[Plan Accion Integrado ADRES Vigencia 2018 con Cuadro de Mando V6..xlsx]Plan de Accion 2018'!#REF!,AE153&lt;&gt;"N/A"))</xm:f>
            <x14:dxf>
              <fill>
                <patternFill>
                  <bgColor rgb="FF00B050"/>
                </patternFill>
              </fill>
            </x14:dxf>
          </x14:cfRule>
          <x14:cfRule type="expression" priority="2793" stopIfTrue="1" id="{3103E1F9-527C-4F75-85C8-AE2B6B3CF10B}">
            <xm:f>AND(IF(AE153&lt;'F:\Users\norela.briceno\Documents\Plan de acción\Plan Accion 2018\[Plan Accion Integrado ADRES Vigencia 2018 con Cuadro de Mando V6..xlsx]Plan de Accion 2018'!#REF!,AE153&lt;&gt;"N/A"))</xm:f>
            <x14:dxf>
              <fill>
                <patternFill>
                  <bgColor indexed="10"/>
                </patternFill>
              </fill>
            </x14:dxf>
          </x14:cfRule>
          <xm:sqref>AE153</xm:sqref>
        </x14:conditionalFormatting>
        <x14:conditionalFormatting xmlns:xm="http://schemas.microsoft.com/office/excel/2006/main">
          <x14:cfRule type="expression" priority="2631" id="{E7F99BFB-0D43-430F-96DD-D785E25B536D}">
            <xm:f>AND(IF(Q264&gt;'F:\Users\norela.briceno\Documents\Plan de acción\Plan Accion 2018\[Plan Accion Integrado ADRES Vigencia 2018 con Cuadro de Mando V6..xlsx]Plan de Accion 2018'!#REF!,Q264&lt;&gt;¨N/A¨))</xm:f>
            <x14:dxf>
              <fill>
                <patternFill>
                  <bgColor theme="1" tint="0.499984740745262"/>
                </patternFill>
              </fill>
            </x14:dxf>
          </x14:cfRule>
          <x14:cfRule type="expression" priority="2632" stopIfTrue="1" id="{2FFA1D36-0A03-4FF6-8937-98FDBC05F970}">
            <xm:f>AND(IF(Q264='F:\Users\norela.briceno\Documents\Plan de acción\Plan Accion 2018\[Plan Accion Integrado ADRES Vigencia 2018 con Cuadro de Mando V6..xlsx]Plan de Accion 2018'!#REF!,Q264&lt;&gt;"N/A"))</xm:f>
            <x14:dxf>
              <fill>
                <patternFill>
                  <bgColor rgb="FF00B050"/>
                </patternFill>
              </fill>
            </x14:dxf>
          </x14:cfRule>
          <x14:cfRule type="expression" priority="2633" stopIfTrue="1" id="{CAAF237B-DD9E-4746-93DE-CD10F5214EA6}">
            <xm:f>AND(IF(Q264&lt;'F:\Users\norela.briceno\Documents\Plan de acción\Plan Accion 2018\[Plan Accion Integrado ADRES Vigencia 2018 con Cuadro de Mando V6..xlsx]Plan de Accion 2018'!#REF!,Q264&lt;&gt;"N/A"))</xm:f>
            <x14:dxf>
              <fill>
                <patternFill>
                  <bgColor indexed="10"/>
                </patternFill>
              </fill>
            </x14:dxf>
          </x14:cfRule>
          <xm:sqref>Q264</xm:sqref>
        </x14:conditionalFormatting>
        <x14:conditionalFormatting xmlns:xm="http://schemas.microsoft.com/office/excel/2006/main">
          <x14:cfRule type="expression" priority="2628" id="{EDAC4777-7DAC-4021-9E27-5EB85E7CE618}">
            <xm:f>AND(IF(X264&gt;'F:\Users\norela.briceno\Documents\Plan de acción\Plan Accion 2018\[Plan Accion Integrado ADRES Vigencia 2018 con Cuadro de Mando V6..xlsx]Plan de Accion 2018'!#REF!,X264&lt;&gt;¨N/A¨))</xm:f>
            <x14:dxf>
              <fill>
                <patternFill>
                  <bgColor theme="1" tint="0.499984740745262"/>
                </patternFill>
              </fill>
            </x14:dxf>
          </x14:cfRule>
          <x14:cfRule type="expression" priority="2629" stopIfTrue="1" id="{20B27D53-DFFB-4865-BCFE-7D9450193453}">
            <xm:f>AND(IF(X264='F:\Users\norela.briceno\Documents\Plan de acción\Plan Accion 2018\[Plan Accion Integrado ADRES Vigencia 2018 con Cuadro de Mando V6..xlsx]Plan de Accion 2018'!#REF!,X264&lt;&gt;"N/A"))</xm:f>
            <x14:dxf>
              <fill>
                <patternFill>
                  <bgColor rgb="FF00B050"/>
                </patternFill>
              </fill>
            </x14:dxf>
          </x14:cfRule>
          <x14:cfRule type="expression" priority="2630" stopIfTrue="1" id="{CDB8720E-2244-4F16-8833-7F17B2005B8F}">
            <xm:f>AND(IF(X264&lt;'F:\Users\norela.briceno\Documents\Plan de acción\Plan Accion 2018\[Plan Accion Integrado ADRES Vigencia 2018 con Cuadro de Mando V6..xlsx]Plan de Accion 2018'!#REF!,X264&lt;&gt;"N/A"))</xm:f>
            <x14:dxf>
              <fill>
                <patternFill>
                  <bgColor indexed="10"/>
                </patternFill>
              </fill>
            </x14:dxf>
          </x14:cfRule>
          <xm:sqref>X264</xm:sqref>
        </x14:conditionalFormatting>
        <x14:conditionalFormatting xmlns:xm="http://schemas.microsoft.com/office/excel/2006/main">
          <x14:cfRule type="expression" priority="2625" id="{8D553E34-7114-4A27-A195-9EBB86A76F6D}">
            <xm:f>AND(IF(AE264&gt;'F:\Users\norela.briceno\Documents\Plan de acción\Plan Accion 2018\[Plan Accion Integrado ADRES Vigencia 2018 con Cuadro de Mando V6..xlsx]Plan de Accion 2018'!#REF!,AE264&lt;&gt;¨N/A¨))</xm:f>
            <x14:dxf>
              <fill>
                <patternFill>
                  <bgColor theme="1" tint="0.499984740745262"/>
                </patternFill>
              </fill>
            </x14:dxf>
          </x14:cfRule>
          <x14:cfRule type="expression" priority="2626" stopIfTrue="1" id="{831C5B5B-0CD1-49D1-A8FE-01D07208A23C}">
            <xm:f>AND(IF(AE264='F:\Users\norela.briceno\Documents\Plan de acción\Plan Accion 2018\[Plan Accion Integrado ADRES Vigencia 2018 con Cuadro de Mando V6..xlsx]Plan de Accion 2018'!#REF!,AE264&lt;&gt;"N/A"))</xm:f>
            <x14:dxf>
              <fill>
                <patternFill>
                  <bgColor rgb="FF00B050"/>
                </patternFill>
              </fill>
            </x14:dxf>
          </x14:cfRule>
          <x14:cfRule type="expression" priority="2627" stopIfTrue="1" id="{A88DCB09-670F-44D0-952F-BE4D343780EC}">
            <xm:f>AND(IF(AE264&lt;'F:\Users\norela.briceno\Documents\Plan de acción\Plan Accion 2018\[Plan Accion Integrado ADRES Vigencia 2018 con Cuadro de Mando V6..xlsx]Plan de Accion 2018'!#REF!,AE264&lt;&gt;"N/A"))</xm:f>
            <x14:dxf>
              <fill>
                <patternFill>
                  <bgColor indexed="10"/>
                </patternFill>
              </fill>
            </x14:dxf>
          </x14:cfRule>
          <xm:sqref>AE264</xm:sqref>
        </x14:conditionalFormatting>
        <x14:conditionalFormatting xmlns:xm="http://schemas.microsoft.com/office/excel/2006/main">
          <x14:cfRule type="expression" priority="2768" id="{6751C40D-8669-48D4-B61A-244BA905C99D}">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2769" stopIfTrue="1" id="{9493F986-83B2-40FD-A063-A047C4C20108}">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2770" stopIfTrue="1" id="{35F5FD9A-8045-43C2-9E52-F05B9E6AED09}">
            <xm:f>AND(IF(J30&lt;'F:\Users\norela.briceno\Documents\Plan de acción\Plan Accion 2018\[Plan Accion Integrado ADRES Vigencia 2018 con Cuadro de Mando V6..xlsx]Plan de Accion 2018'!#REF!,J30&lt;&gt;"N/A"))</xm:f>
            <x14:dxf>
              <fill>
                <patternFill>
                  <bgColor indexed="10"/>
                </patternFill>
              </fill>
            </x14:dxf>
          </x14:cfRule>
          <xm:sqref>J30 Q30 AE30 X30</xm:sqref>
        </x14:conditionalFormatting>
        <x14:conditionalFormatting xmlns:xm="http://schemas.microsoft.com/office/excel/2006/main">
          <x14:cfRule type="expression" priority="2765" id="{F11B8569-D4F5-4A7C-B8EB-29A0825D7A93}">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2766" stopIfTrue="1" id="{32DBD465-4D39-47C0-BA8E-0C2111DA8353}">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2767" stopIfTrue="1" id="{7D9A615D-2FB5-4272-857F-CFC316C10E32}">
            <xm:f>AND(IF(J30&lt;'F:\Users\norela.briceno\Documents\Plan de acción\Plan Accion 2018\[Plan Accion Integrado ADRES Vigencia 2018 con Cuadro de Mando V6..xlsx]Plan de Accion 2018'!#REF!,J30&lt;&gt;"N/A"))</xm:f>
            <x14:dxf>
              <fill>
                <patternFill>
                  <bgColor indexed="10"/>
                </patternFill>
              </fill>
            </x14:dxf>
          </x14:cfRule>
          <xm:sqref>J30</xm:sqref>
        </x14:conditionalFormatting>
        <x14:conditionalFormatting xmlns:xm="http://schemas.microsoft.com/office/excel/2006/main">
          <x14:cfRule type="expression" priority="2762" id="{FFFC1D0D-10BE-4773-8127-39EE0662ABBC}">
            <xm:f>AND(IF(Q30&gt;'F:\Users\norela.briceno\Documents\Plan de acción\Plan Accion 2018\[Plan Accion Integrado ADRES Vigencia 2018 con Cuadro de Mando V6..xlsx]Plan de Accion 2018'!#REF!,Q30&lt;&gt;¨N/A¨))</xm:f>
            <x14:dxf>
              <fill>
                <patternFill>
                  <bgColor theme="1" tint="0.499984740745262"/>
                </patternFill>
              </fill>
            </x14:dxf>
          </x14:cfRule>
          <x14:cfRule type="expression" priority="2763" stopIfTrue="1" id="{4A51BE8F-49DD-4BF2-93ED-0C96364A439A}">
            <xm:f>AND(IF(Q30='F:\Users\norela.briceno\Documents\Plan de acción\Plan Accion 2018\[Plan Accion Integrado ADRES Vigencia 2018 con Cuadro de Mando V6..xlsx]Plan de Accion 2018'!#REF!,Q30&lt;&gt;"N/A"))</xm:f>
            <x14:dxf>
              <fill>
                <patternFill>
                  <bgColor rgb="FF00B050"/>
                </patternFill>
              </fill>
            </x14:dxf>
          </x14:cfRule>
          <x14:cfRule type="expression" priority="2764" stopIfTrue="1" id="{C5CE7576-3D91-4575-9F02-9E5FC7B60740}">
            <xm:f>AND(IF(Q30&lt;'F:\Users\norela.briceno\Documents\Plan de acción\Plan Accion 2018\[Plan Accion Integrado ADRES Vigencia 2018 con Cuadro de Mando V6..xlsx]Plan de Accion 2018'!#REF!,Q30&lt;&gt;"N/A"))</xm:f>
            <x14:dxf>
              <fill>
                <patternFill>
                  <bgColor indexed="10"/>
                </patternFill>
              </fill>
            </x14:dxf>
          </x14:cfRule>
          <xm:sqref>Q30</xm:sqref>
        </x14:conditionalFormatting>
        <x14:conditionalFormatting xmlns:xm="http://schemas.microsoft.com/office/excel/2006/main">
          <x14:cfRule type="expression" priority="2759" id="{C15FD457-6759-44B5-9CB9-5A0CA9068214}">
            <xm:f>AND(IF(X30&gt;'F:\Users\norela.briceno\Documents\Plan de acción\Plan Accion 2018\[Plan Accion Integrado ADRES Vigencia 2018 con Cuadro de Mando V6..xlsx]Plan de Accion 2018'!#REF!,X30&lt;&gt;¨N/A¨))</xm:f>
            <x14:dxf>
              <fill>
                <patternFill>
                  <bgColor theme="1" tint="0.499984740745262"/>
                </patternFill>
              </fill>
            </x14:dxf>
          </x14:cfRule>
          <x14:cfRule type="expression" priority="2760" stopIfTrue="1" id="{FEB5D436-85E7-405E-AEC7-A0240BB436F9}">
            <xm:f>AND(IF(X30='F:\Users\norela.briceno\Documents\Plan de acción\Plan Accion 2018\[Plan Accion Integrado ADRES Vigencia 2018 con Cuadro de Mando V6..xlsx]Plan de Accion 2018'!#REF!,X30&lt;&gt;"N/A"))</xm:f>
            <x14:dxf>
              <fill>
                <patternFill>
                  <bgColor rgb="FF00B050"/>
                </patternFill>
              </fill>
            </x14:dxf>
          </x14:cfRule>
          <x14:cfRule type="expression" priority="2761" stopIfTrue="1" id="{4DEFC661-C151-4625-BBAE-13ABDEB94A49}">
            <xm:f>AND(IF(X30&lt;'F:\Users\norela.briceno\Documents\Plan de acción\Plan Accion 2018\[Plan Accion Integrado ADRES Vigencia 2018 con Cuadro de Mando V6..xlsx]Plan de Accion 2018'!#REF!,X30&lt;&gt;"N/A"))</xm:f>
            <x14:dxf>
              <fill>
                <patternFill>
                  <bgColor indexed="10"/>
                </patternFill>
              </fill>
            </x14:dxf>
          </x14:cfRule>
          <xm:sqref>X30</xm:sqref>
        </x14:conditionalFormatting>
        <x14:conditionalFormatting xmlns:xm="http://schemas.microsoft.com/office/excel/2006/main">
          <x14:cfRule type="expression" priority="2756" id="{6517AC4F-0CDB-41A3-BDEB-FBB497AEAADB}">
            <xm:f>AND(IF(AE30&gt;'F:\Users\norela.briceno\Documents\Plan de acción\Plan Accion 2018\[Plan Accion Integrado ADRES Vigencia 2018 con Cuadro de Mando V6..xlsx]Plan de Accion 2018'!#REF!,AE30&lt;&gt;¨N/A¨))</xm:f>
            <x14:dxf>
              <fill>
                <patternFill>
                  <bgColor theme="1" tint="0.499984740745262"/>
                </patternFill>
              </fill>
            </x14:dxf>
          </x14:cfRule>
          <x14:cfRule type="expression" priority="2757" stopIfTrue="1" id="{FDF0A80E-4062-4C92-8A98-4FA66D763E02}">
            <xm:f>AND(IF(AE30='F:\Users\norela.briceno\Documents\Plan de acción\Plan Accion 2018\[Plan Accion Integrado ADRES Vigencia 2018 con Cuadro de Mando V6..xlsx]Plan de Accion 2018'!#REF!,AE30&lt;&gt;"N/A"))</xm:f>
            <x14:dxf>
              <fill>
                <patternFill>
                  <bgColor rgb="FF00B050"/>
                </patternFill>
              </fill>
            </x14:dxf>
          </x14:cfRule>
          <x14:cfRule type="expression" priority="2758" stopIfTrue="1" id="{5A43F19A-345B-4896-9748-360A2DB72D7D}">
            <xm:f>AND(IF(AE30&lt;'F:\Users\norela.briceno\Documents\Plan de acción\Plan Accion 2018\[Plan Accion Integrado ADRES Vigencia 2018 con Cuadro de Mando V6..xlsx]Plan de Accion 2018'!#REF!,AE30&lt;&gt;"N/A"))</xm:f>
            <x14:dxf>
              <fill>
                <patternFill>
                  <bgColor indexed="10"/>
                </patternFill>
              </fill>
            </x14:dxf>
          </x14:cfRule>
          <xm:sqref>AE30</xm:sqref>
        </x14:conditionalFormatting>
        <x14:conditionalFormatting xmlns:xm="http://schemas.microsoft.com/office/excel/2006/main">
          <x14:cfRule type="expression" priority="2678" id="{61F570B2-0934-4782-8BD3-C08F2A3DC0C1}">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2679" stopIfTrue="1" id="{01601896-10EE-4646-90F3-A410F6603D0C}">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2680" stopIfTrue="1" id="{F67F6E17-373F-4E2D-9BEC-B9D1210761C3}">
            <xm:f>AND(IF(Q163&lt;'F:\Users\norela.briceno\Documents\Plan de acción\Plan Accion 2018\[Plan Accion Integrado ADRES Vigencia 2018 con Cuadro de Mando V6..xlsx]Plan de Accion 2018'!#REF!,Q163&lt;&gt;"N/A"))</xm:f>
            <x14:dxf>
              <fill>
                <patternFill>
                  <bgColor indexed="10"/>
                </patternFill>
              </fill>
            </x14:dxf>
          </x14:cfRule>
          <xm:sqref>Q163 X163 AE163</xm:sqref>
        </x14:conditionalFormatting>
        <x14:conditionalFormatting xmlns:xm="http://schemas.microsoft.com/office/excel/2006/main">
          <x14:cfRule type="expression" priority="2672" id="{691C74E4-06BC-42ED-BCE3-BC23F94E7FFA}">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2673" stopIfTrue="1" id="{D9D3688C-44BC-4FC5-BC89-449CB2B2A01D}">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2674" stopIfTrue="1" id="{06BC77E6-E5BE-47B0-997F-003F519E3A3F}">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2669" id="{70D4C05E-5EC8-4A86-BCC0-731FFFAC683C}">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2670" stopIfTrue="1" id="{2023C1BB-E0F3-4DA9-8712-FDE308F29A68}">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2671" stopIfTrue="1" id="{D371046F-4F44-4820-A5D5-1AACD3BCCB45}">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2675" id="{49E5822F-3ACE-4ACA-B2FC-D6807C39FA27}">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2676" stopIfTrue="1" id="{AD8FB662-3D71-4D56-9A73-CAA83C17B637}">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2677" stopIfTrue="1" id="{ABC758E9-75B1-4BC8-804B-F144CABD19E5}">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2602" id="{D988741D-AC26-4077-9A12-AABEAFDF5B9D}">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2603" stopIfTrue="1" id="{5D6DB42E-6EFF-4E93-BAED-89958B8CCE9A}">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2604" stopIfTrue="1" id="{51FF34BE-C207-4F2F-92FA-E45FDCD9B303}">
            <xm:f>AND(IF(Q88&lt;'F:\Users\norela.briceno\Documents\Plan de acción\Plan Accion 2018\[Plan Accion Integrado ADRES Vigencia 2018 con Cuadro de Mando V6..xlsx]Plan de Accion 2018'!#REF!,Q88&lt;&gt;"N/A"))</xm:f>
            <x14:dxf>
              <fill>
                <patternFill>
                  <bgColor indexed="10"/>
                </patternFill>
              </fill>
            </x14:dxf>
          </x14:cfRule>
          <xm:sqref>Q88 AE88 X88</xm:sqref>
        </x14:conditionalFormatting>
        <x14:conditionalFormatting xmlns:xm="http://schemas.microsoft.com/office/excel/2006/main">
          <x14:cfRule type="expression" priority="2599" id="{96552F71-45F3-4D26-B6FC-1E0CDBAE42D5}">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2600" stopIfTrue="1" id="{584C5695-7BF8-4E95-918C-1F6CA18B7218}">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2601" stopIfTrue="1" id="{970D483E-371D-4BB5-B7EB-E1245A068682}">
            <xm:f>AND(IF(Q88&lt;'F:\Users\norela.briceno\Documents\Plan de acción\Plan Accion 2018\[Plan Accion Integrado ADRES Vigencia 2018 con Cuadro de Mando V6..xlsx]Plan de Accion 2018'!#REF!,Q88&lt;&gt;"N/A"))</xm:f>
            <x14:dxf>
              <fill>
                <patternFill>
                  <bgColor indexed="10"/>
                </patternFill>
              </fill>
            </x14:dxf>
          </x14:cfRule>
          <xm:sqref>Q88</xm:sqref>
        </x14:conditionalFormatting>
        <x14:conditionalFormatting xmlns:xm="http://schemas.microsoft.com/office/excel/2006/main">
          <x14:cfRule type="expression" priority="2596" id="{F564F33C-A1D3-4D39-A13D-C4E70364F2A9}">
            <xm:f>AND(IF(X88&gt;'F:\Users\norela.briceno\Documents\Plan de acción\Plan Accion 2018\[Plan Accion Integrado ADRES Vigencia 2018 con Cuadro de Mando V6..xlsx]Plan de Accion 2018'!#REF!,X88&lt;&gt;¨N/A¨))</xm:f>
            <x14:dxf>
              <fill>
                <patternFill>
                  <bgColor theme="1" tint="0.499984740745262"/>
                </patternFill>
              </fill>
            </x14:dxf>
          </x14:cfRule>
          <x14:cfRule type="expression" priority="2597" stopIfTrue="1" id="{F0E646FB-F1EA-47AE-AA73-3B4E1B31EEDA}">
            <xm:f>AND(IF(X88='F:\Users\norela.briceno\Documents\Plan de acción\Plan Accion 2018\[Plan Accion Integrado ADRES Vigencia 2018 con Cuadro de Mando V6..xlsx]Plan de Accion 2018'!#REF!,X88&lt;&gt;"N/A"))</xm:f>
            <x14:dxf>
              <fill>
                <patternFill>
                  <bgColor rgb="FF00B050"/>
                </patternFill>
              </fill>
            </x14:dxf>
          </x14:cfRule>
          <x14:cfRule type="expression" priority="2598" stopIfTrue="1" id="{7F7F2425-C801-4B22-B497-BAE76D7B4364}">
            <xm:f>AND(IF(X88&lt;'F:\Users\norela.briceno\Documents\Plan de acción\Plan Accion 2018\[Plan Accion Integrado ADRES Vigencia 2018 con Cuadro de Mando V6..xlsx]Plan de Accion 2018'!#REF!,X88&lt;&gt;"N/A"))</xm:f>
            <x14:dxf>
              <fill>
                <patternFill>
                  <bgColor indexed="10"/>
                </patternFill>
              </fill>
            </x14:dxf>
          </x14:cfRule>
          <xm:sqref>X88</xm:sqref>
        </x14:conditionalFormatting>
        <x14:conditionalFormatting xmlns:xm="http://schemas.microsoft.com/office/excel/2006/main">
          <x14:cfRule type="expression" priority="2593" id="{7C054BA0-C9FE-4E6B-88A6-038E1972D14E}">
            <xm:f>AND(IF(AE88&gt;'F:\Users\norela.briceno\Documents\Plan de acción\Plan Accion 2018\[Plan Accion Integrado ADRES Vigencia 2018 con Cuadro de Mando V6..xlsx]Plan de Accion 2018'!#REF!,AE88&lt;&gt;¨N/A¨))</xm:f>
            <x14:dxf>
              <fill>
                <patternFill>
                  <bgColor theme="1" tint="0.499984740745262"/>
                </patternFill>
              </fill>
            </x14:dxf>
          </x14:cfRule>
          <x14:cfRule type="expression" priority="2594" stopIfTrue="1" id="{EA7922E0-B3F4-48BB-A27A-5F8746EEC3E2}">
            <xm:f>AND(IF(AE88='F:\Users\norela.briceno\Documents\Plan de acción\Plan Accion 2018\[Plan Accion Integrado ADRES Vigencia 2018 con Cuadro de Mando V6..xlsx]Plan de Accion 2018'!#REF!,AE88&lt;&gt;"N/A"))</xm:f>
            <x14:dxf>
              <fill>
                <patternFill>
                  <bgColor rgb="FF00B050"/>
                </patternFill>
              </fill>
            </x14:dxf>
          </x14:cfRule>
          <x14:cfRule type="expression" priority="2595" stopIfTrue="1" id="{22F48144-5178-46B4-94D5-24D26F5A1A87}">
            <xm:f>AND(IF(AE88&lt;'F:\Users\norela.briceno\Documents\Plan de acción\Plan Accion 2018\[Plan Accion Integrado ADRES Vigencia 2018 con Cuadro de Mando V6..xlsx]Plan de Accion 2018'!#REF!,AE88&lt;&gt;"N/A"))</xm:f>
            <x14:dxf>
              <fill>
                <patternFill>
                  <bgColor indexed="10"/>
                </patternFill>
              </fill>
            </x14:dxf>
          </x14:cfRule>
          <xm:sqref>AE88</xm:sqref>
        </x14:conditionalFormatting>
        <x14:conditionalFormatting xmlns:xm="http://schemas.microsoft.com/office/excel/2006/main">
          <x14:cfRule type="expression" priority="2545" id="{F705C8FA-6F4C-4F56-9F88-FCE74BF3CB45}">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2546" stopIfTrue="1" id="{6BF0A0AC-884D-4E74-9694-E6F5FBAAFAC1}">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2547" stopIfTrue="1" id="{A4A27D71-C590-48FC-8477-5A2E6C52BA9C}">
            <xm:f>AND(IF(Q92&lt;'F:\Users\norela.briceno\Documents\Plan de acción\Plan Accion 2018\[Plan Accion Integrado ADRES Vigencia 2018 con Cuadro de Mando V6..xlsx]Plan de Accion 2018'!#REF!,Q92&lt;&gt;"N/A"))</xm:f>
            <x14:dxf>
              <fill>
                <patternFill>
                  <bgColor indexed="10"/>
                </patternFill>
              </fill>
            </x14:dxf>
          </x14:cfRule>
          <xm:sqref>Q92 AE92 X92</xm:sqref>
        </x14:conditionalFormatting>
        <x14:conditionalFormatting xmlns:xm="http://schemas.microsoft.com/office/excel/2006/main">
          <x14:cfRule type="expression" priority="2542" id="{14C7F235-C137-46C2-A782-3A348388909F}">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2543" stopIfTrue="1" id="{49DF192D-7126-4C26-AB9C-59A8EF2117E4}">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2544" stopIfTrue="1" id="{B2C05B0D-B543-4E21-ABEA-E78906B983B0}">
            <xm:f>AND(IF(Q92&lt;'F:\Users\norela.briceno\Documents\Plan de acción\Plan Accion 2018\[Plan Accion Integrado ADRES Vigencia 2018 con Cuadro de Mando V6..xlsx]Plan de Accion 2018'!#REF!,Q92&lt;&gt;"N/A"))</xm:f>
            <x14:dxf>
              <fill>
                <patternFill>
                  <bgColor indexed="10"/>
                </patternFill>
              </fill>
            </x14:dxf>
          </x14:cfRule>
          <xm:sqref>Q92</xm:sqref>
        </x14:conditionalFormatting>
        <x14:conditionalFormatting xmlns:xm="http://schemas.microsoft.com/office/excel/2006/main">
          <x14:cfRule type="expression" priority="2539" id="{EC1D7969-E997-417F-90DE-3B77A5E96D8F}">
            <xm:f>AND(IF(X92&gt;'F:\Users\norela.briceno\Documents\Plan de acción\Plan Accion 2018\[Plan Accion Integrado ADRES Vigencia 2018 con Cuadro de Mando V6..xlsx]Plan de Accion 2018'!#REF!,X92&lt;&gt;¨N/A¨))</xm:f>
            <x14:dxf>
              <fill>
                <patternFill>
                  <bgColor theme="1" tint="0.499984740745262"/>
                </patternFill>
              </fill>
            </x14:dxf>
          </x14:cfRule>
          <x14:cfRule type="expression" priority="2540" stopIfTrue="1" id="{A1B34047-B46E-47B8-8E59-B01D925C7333}">
            <xm:f>AND(IF(X92='F:\Users\norela.briceno\Documents\Plan de acción\Plan Accion 2018\[Plan Accion Integrado ADRES Vigencia 2018 con Cuadro de Mando V6..xlsx]Plan de Accion 2018'!#REF!,X92&lt;&gt;"N/A"))</xm:f>
            <x14:dxf>
              <fill>
                <patternFill>
                  <bgColor rgb="FF00B050"/>
                </patternFill>
              </fill>
            </x14:dxf>
          </x14:cfRule>
          <x14:cfRule type="expression" priority="2541" stopIfTrue="1" id="{22BB6F4A-3AAC-48FB-9C9F-2A74C67F2613}">
            <xm:f>AND(IF(X92&lt;'F:\Users\norela.briceno\Documents\Plan de acción\Plan Accion 2018\[Plan Accion Integrado ADRES Vigencia 2018 con Cuadro de Mando V6..xlsx]Plan de Accion 2018'!#REF!,X92&lt;&gt;"N/A"))</xm:f>
            <x14:dxf>
              <fill>
                <patternFill>
                  <bgColor indexed="10"/>
                </patternFill>
              </fill>
            </x14:dxf>
          </x14:cfRule>
          <xm:sqref>X92</xm:sqref>
        </x14:conditionalFormatting>
        <x14:conditionalFormatting xmlns:xm="http://schemas.microsoft.com/office/excel/2006/main">
          <x14:cfRule type="expression" priority="2536" id="{2D13AD42-411F-4230-959D-0854C16F436A}">
            <xm:f>AND(IF(AE92&gt;'F:\Users\norela.briceno\Documents\Plan de acción\Plan Accion 2018\[Plan Accion Integrado ADRES Vigencia 2018 con Cuadro de Mando V6..xlsx]Plan de Accion 2018'!#REF!,AE92&lt;&gt;¨N/A¨))</xm:f>
            <x14:dxf>
              <fill>
                <patternFill>
                  <bgColor theme="1" tint="0.499984740745262"/>
                </patternFill>
              </fill>
            </x14:dxf>
          </x14:cfRule>
          <x14:cfRule type="expression" priority="2537" stopIfTrue="1" id="{4E51ADDE-CDE3-4AD3-B976-BD69BC5D3862}">
            <xm:f>AND(IF(AE92='F:\Users\norela.briceno\Documents\Plan de acción\Plan Accion 2018\[Plan Accion Integrado ADRES Vigencia 2018 con Cuadro de Mando V6..xlsx]Plan de Accion 2018'!#REF!,AE92&lt;&gt;"N/A"))</xm:f>
            <x14:dxf>
              <fill>
                <patternFill>
                  <bgColor rgb="FF00B050"/>
                </patternFill>
              </fill>
            </x14:dxf>
          </x14:cfRule>
          <x14:cfRule type="expression" priority="2538" stopIfTrue="1" id="{86783307-4637-4277-981D-D77DDA1EBDCE}">
            <xm:f>AND(IF(AE92&lt;'F:\Users\norela.briceno\Documents\Plan de acción\Plan Accion 2018\[Plan Accion Integrado ADRES Vigencia 2018 con Cuadro de Mando V6..xlsx]Plan de Accion 2018'!#REF!,AE92&lt;&gt;"N/A"))</xm:f>
            <x14:dxf>
              <fill>
                <patternFill>
                  <bgColor indexed="10"/>
                </patternFill>
              </fill>
            </x14:dxf>
          </x14:cfRule>
          <xm:sqref>AE92</xm:sqref>
        </x14:conditionalFormatting>
        <x14:conditionalFormatting xmlns:xm="http://schemas.microsoft.com/office/excel/2006/main">
          <x14:cfRule type="expression" priority="1967" id="{302BB126-5B31-4418-9D1A-74E34DEFAB36}">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1968" stopIfTrue="1" id="{3CDC721A-D9BA-4C54-AF47-5A335EDB3C1D}">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1969" stopIfTrue="1" id="{D3933152-58EE-47C6-81DA-7646E67BE0EE}">
            <xm:f>AND(IF(Q120&lt;'F:\Users\norela.briceno\Documents\Plan de acción\Plan Accion 2018\[Plan Accion Integrado ADRES Vigencia 2018 con Cuadro de Mando V6..xlsx]Plan de Accion 2018'!#REF!,Q120&lt;&gt;"N/A"))</xm:f>
            <x14:dxf>
              <fill>
                <patternFill>
                  <bgColor indexed="10"/>
                </patternFill>
              </fill>
            </x14:dxf>
          </x14:cfRule>
          <xm:sqref>Q120 AE120 X120</xm:sqref>
        </x14:conditionalFormatting>
        <x14:conditionalFormatting xmlns:xm="http://schemas.microsoft.com/office/excel/2006/main">
          <x14:cfRule type="expression" priority="1964" id="{58833278-47E0-463E-B527-F00AC002D63B}">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1965" stopIfTrue="1" id="{468D2B93-76CD-4FD7-A5A7-5B01A98662DA}">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1966" stopIfTrue="1" id="{73B95AED-74B8-4CA9-A0F4-8F32F2F90381}">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1961" id="{ED96B3C8-D129-47AC-A209-803EE604E60D}">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1962" stopIfTrue="1" id="{91DB7D7A-C588-4D3B-BA3A-6FDDD9DA7ADC}">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1963" stopIfTrue="1" id="{1BA508A4-5721-4286-B6A4-CCD62AAD35B7}">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1958" id="{F6031405-C29E-4144-8A34-2980A9C9593F}">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1959" stopIfTrue="1" id="{3318C041-3F21-4CC6-B9D7-3109D6811973}">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1960" stopIfTrue="1" id="{9A4A1AD9-82DB-4E93-A46B-49EF7D55EF07}">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2132" id="{BA219B8F-000D-4B15-B3AC-3D6A2312F30C}">
            <xm:f>AND(IF(Q349&gt;'F:\Users\norela.briceno\Documents\Plan de acción\Plan Accion 2018\[Plan Accion Integrado ADRES Vigencia 2018 con Cuadro de Mando V6..xlsx]Plan de Accion 2018'!#REF!,Q349&lt;&gt;¨N/A¨))</xm:f>
            <x14:dxf>
              <fill>
                <patternFill>
                  <bgColor theme="1" tint="0.499984740745262"/>
                </patternFill>
              </fill>
            </x14:dxf>
          </x14:cfRule>
          <x14:cfRule type="expression" priority="2133" stopIfTrue="1" id="{B8750500-46D8-49AE-9BFE-4082EDA09F65}">
            <xm:f>AND(IF(Q349='F:\Users\norela.briceno\Documents\Plan de acción\Plan Accion 2018\[Plan Accion Integrado ADRES Vigencia 2018 con Cuadro de Mando V6..xlsx]Plan de Accion 2018'!#REF!,Q349&lt;&gt;"N/A"))</xm:f>
            <x14:dxf>
              <fill>
                <patternFill>
                  <bgColor rgb="FF00B050"/>
                </patternFill>
              </fill>
            </x14:dxf>
          </x14:cfRule>
          <x14:cfRule type="expression" priority="2134" stopIfTrue="1" id="{5D038064-3BF8-4B5B-80EE-DEFDD2C7BC1C}">
            <xm:f>AND(IF(Q349&lt;'F:\Users\norela.briceno\Documents\Plan de acción\Plan Accion 2018\[Plan Accion Integrado ADRES Vigencia 2018 con Cuadro de Mando V6..xlsx]Plan de Accion 2018'!#REF!,Q349&lt;&gt;"N/A"))</xm:f>
            <x14:dxf>
              <fill>
                <patternFill>
                  <bgColor indexed="10"/>
                </patternFill>
              </fill>
            </x14:dxf>
          </x14:cfRule>
          <xm:sqref>Q349</xm:sqref>
        </x14:conditionalFormatting>
        <x14:conditionalFormatting xmlns:xm="http://schemas.microsoft.com/office/excel/2006/main">
          <x14:cfRule type="expression" priority="2129" id="{3653D81E-216E-436A-BA61-A759D7C06A20}">
            <xm:f>AND(IF(X349&gt;'F:\Users\norela.briceno\Documents\Plan de acción\Plan Accion 2018\[Plan Accion Integrado ADRES Vigencia 2018 con Cuadro de Mando V6..xlsx]Plan de Accion 2018'!#REF!,X349&lt;&gt;¨N/A¨))</xm:f>
            <x14:dxf>
              <fill>
                <patternFill>
                  <bgColor theme="1" tint="0.499984740745262"/>
                </patternFill>
              </fill>
            </x14:dxf>
          </x14:cfRule>
          <x14:cfRule type="expression" priority="2130" stopIfTrue="1" id="{53A37E02-350D-4717-AAB9-7CCD99FD2E64}">
            <xm:f>AND(IF(X349='F:\Users\norela.briceno\Documents\Plan de acción\Plan Accion 2018\[Plan Accion Integrado ADRES Vigencia 2018 con Cuadro de Mando V6..xlsx]Plan de Accion 2018'!#REF!,X349&lt;&gt;"N/A"))</xm:f>
            <x14:dxf>
              <fill>
                <patternFill>
                  <bgColor rgb="FF00B050"/>
                </patternFill>
              </fill>
            </x14:dxf>
          </x14:cfRule>
          <x14:cfRule type="expression" priority="2131" stopIfTrue="1" id="{A97A96E7-DD31-4688-88C8-EEC00A477ED8}">
            <xm:f>AND(IF(X349&lt;'F:\Users\norela.briceno\Documents\Plan de acción\Plan Accion 2018\[Plan Accion Integrado ADRES Vigencia 2018 con Cuadro de Mando V6..xlsx]Plan de Accion 2018'!#REF!,X349&lt;&gt;"N/A"))</xm:f>
            <x14:dxf>
              <fill>
                <patternFill>
                  <bgColor indexed="10"/>
                </patternFill>
              </fill>
            </x14:dxf>
          </x14:cfRule>
          <xm:sqref>X349</xm:sqref>
        </x14:conditionalFormatting>
        <x14:conditionalFormatting xmlns:xm="http://schemas.microsoft.com/office/excel/2006/main">
          <x14:cfRule type="expression" priority="2126" id="{BA1589B9-3A47-44D6-B9F0-75415E01DA6F}">
            <xm:f>AND(IF(AE349&gt;'F:\Users\norela.briceno\Documents\Plan de acción\Plan Accion 2018\[Plan Accion Integrado ADRES Vigencia 2018 con Cuadro de Mando V6..xlsx]Plan de Accion 2018'!#REF!,AE349&lt;&gt;¨N/A¨))</xm:f>
            <x14:dxf>
              <fill>
                <patternFill>
                  <bgColor theme="1" tint="0.499984740745262"/>
                </patternFill>
              </fill>
            </x14:dxf>
          </x14:cfRule>
          <x14:cfRule type="expression" priority="2127" stopIfTrue="1" id="{C17A611F-322E-45FC-B9F3-A5F6C84DEA62}">
            <xm:f>AND(IF(AE349='F:\Users\norela.briceno\Documents\Plan de acción\Plan Accion 2018\[Plan Accion Integrado ADRES Vigencia 2018 con Cuadro de Mando V6..xlsx]Plan de Accion 2018'!#REF!,AE349&lt;&gt;"N/A"))</xm:f>
            <x14:dxf>
              <fill>
                <patternFill>
                  <bgColor rgb="FF00B050"/>
                </patternFill>
              </fill>
            </x14:dxf>
          </x14:cfRule>
          <x14:cfRule type="expression" priority="2128" stopIfTrue="1" id="{867E8A44-88A8-4E6B-8AAF-F7CA3463DE36}">
            <xm:f>AND(IF(AE349&lt;'F:\Users\norela.briceno\Documents\Plan de acción\Plan Accion 2018\[Plan Accion Integrado ADRES Vigencia 2018 con Cuadro de Mando V6..xlsx]Plan de Accion 2018'!#REF!,AE349&lt;&gt;"N/A"))</xm:f>
            <x14:dxf>
              <fill>
                <patternFill>
                  <bgColor indexed="10"/>
                </patternFill>
              </fill>
            </x14:dxf>
          </x14:cfRule>
          <xm:sqref>AE349</xm:sqref>
        </x14:conditionalFormatting>
        <x14:conditionalFormatting xmlns:xm="http://schemas.microsoft.com/office/excel/2006/main">
          <x14:cfRule type="expression" priority="2053" id="{B4728FAA-C203-4B69-9713-0B33CBBCF94D}">
            <xm:f>AND(IF(Q350&gt;'F:\Users\norela.briceno\Documents\Plan de acción\Plan Accion 2018\[Plan Accion Integrado ADRES Vigencia 2018 con Cuadro de Mando V6..xlsx]Plan de Accion 2018'!#REF!,Q350&lt;&gt;¨N/A¨))</xm:f>
            <x14:dxf>
              <fill>
                <patternFill>
                  <bgColor theme="1" tint="0.499984740745262"/>
                </patternFill>
              </fill>
            </x14:dxf>
          </x14:cfRule>
          <x14:cfRule type="expression" priority="2054" stopIfTrue="1" id="{79DAF3F8-4B9B-4ABF-B2F7-8C78BD4199D3}">
            <xm:f>AND(IF(Q350='F:\Users\norela.briceno\Documents\Plan de acción\Plan Accion 2018\[Plan Accion Integrado ADRES Vigencia 2018 con Cuadro de Mando V6..xlsx]Plan de Accion 2018'!#REF!,Q350&lt;&gt;"N/A"))</xm:f>
            <x14:dxf>
              <fill>
                <patternFill>
                  <bgColor rgb="FF00B050"/>
                </patternFill>
              </fill>
            </x14:dxf>
          </x14:cfRule>
          <x14:cfRule type="expression" priority="2055" stopIfTrue="1" id="{AAF32BEB-3D2D-4D1E-A8F9-DC74B1AEAD58}">
            <xm:f>AND(IF(Q350&lt;'F:\Users\norela.briceno\Documents\Plan de acción\Plan Accion 2018\[Plan Accion Integrado ADRES Vigencia 2018 con Cuadro de Mando V6..xlsx]Plan de Accion 2018'!#REF!,Q350&lt;&gt;"N/A"))</xm:f>
            <x14:dxf>
              <fill>
                <patternFill>
                  <bgColor indexed="10"/>
                </patternFill>
              </fill>
            </x14:dxf>
          </x14:cfRule>
          <xm:sqref>Q350</xm:sqref>
        </x14:conditionalFormatting>
        <x14:conditionalFormatting xmlns:xm="http://schemas.microsoft.com/office/excel/2006/main">
          <x14:cfRule type="expression" priority="2050" id="{B2B64C03-A449-45BD-8D27-4C3D69E0BFA6}">
            <xm:f>AND(IF(X350&gt;'F:\Users\norela.briceno\Documents\Plan de acción\Plan Accion 2018\[Plan Accion Integrado ADRES Vigencia 2018 con Cuadro de Mando V6..xlsx]Plan de Accion 2018'!#REF!,X350&lt;&gt;¨N/A¨))</xm:f>
            <x14:dxf>
              <fill>
                <patternFill>
                  <bgColor theme="1" tint="0.499984740745262"/>
                </patternFill>
              </fill>
            </x14:dxf>
          </x14:cfRule>
          <x14:cfRule type="expression" priority="2051" stopIfTrue="1" id="{828C7571-3D0D-4830-A639-FAEAEC47E0B5}">
            <xm:f>AND(IF(X350='F:\Users\norela.briceno\Documents\Plan de acción\Plan Accion 2018\[Plan Accion Integrado ADRES Vigencia 2018 con Cuadro de Mando V6..xlsx]Plan de Accion 2018'!#REF!,X350&lt;&gt;"N/A"))</xm:f>
            <x14:dxf>
              <fill>
                <patternFill>
                  <bgColor rgb="FF00B050"/>
                </patternFill>
              </fill>
            </x14:dxf>
          </x14:cfRule>
          <x14:cfRule type="expression" priority="2052" stopIfTrue="1" id="{7DCAD0D6-E364-4B2F-8181-E294873122D4}">
            <xm:f>AND(IF(X350&lt;'F:\Users\norela.briceno\Documents\Plan de acción\Plan Accion 2018\[Plan Accion Integrado ADRES Vigencia 2018 con Cuadro de Mando V6..xlsx]Plan de Accion 2018'!#REF!,X350&lt;&gt;"N/A"))</xm:f>
            <x14:dxf>
              <fill>
                <patternFill>
                  <bgColor indexed="10"/>
                </patternFill>
              </fill>
            </x14:dxf>
          </x14:cfRule>
          <xm:sqref>X350</xm:sqref>
        </x14:conditionalFormatting>
        <x14:conditionalFormatting xmlns:xm="http://schemas.microsoft.com/office/excel/2006/main">
          <x14:cfRule type="expression" priority="2047" id="{1C1949C2-CCF2-4D98-8B17-988F4D3F17CE}">
            <xm:f>AND(IF(AE350&gt;'F:\Users\norela.briceno\Documents\Plan de acción\Plan Accion 2018\[Plan Accion Integrado ADRES Vigencia 2018 con Cuadro de Mando V6..xlsx]Plan de Accion 2018'!#REF!,AE350&lt;&gt;¨N/A¨))</xm:f>
            <x14:dxf>
              <fill>
                <patternFill>
                  <bgColor theme="1" tint="0.499984740745262"/>
                </patternFill>
              </fill>
            </x14:dxf>
          </x14:cfRule>
          <x14:cfRule type="expression" priority="2048" stopIfTrue="1" id="{59F73F53-1231-4E38-A7AA-F451D7864D8C}">
            <xm:f>AND(IF(AE350='F:\Users\norela.briceno\Documents\Plan de acción\Plan Accion 2018\[Plan Accion Integrado ADRES Vigencia 2018 con Cuadro de Mando V6..xlsx]Plan de Accion 2018'!#REF!,AE350&lt;&gt;"N/A"))</xm:f>
            <x14:dxf>
              <fill>
                <patternFill>
                  <bgColor rgb="FF00B050"/>
                </patternFill>
              </fill>
            </x14:dxf>
          </x14:cfRule>
          <x14:cfRule type="expression" priority="2049" stopIfTrue="1" id="{7F44870A-D97C-49F7-8E73-FF654DD1131F}">
            <xm:f>AND(IF(AE350&lt;'F:\Users\norela.briceno\Documents\Plan de acción\Plan Accion 2018\[Plan Accion Integrado ADRES Vigencia 2018 con Cuadro de Mando V6..xlsx]Plan de Accion 2018'!#REF!,AE350&lt;&gt;"N/A"))</xm:f>
            <x14:dxf>
              <fill>
                <patternFill>
                  <bgColor indexed="10"/>
                </patternFill>
              </fill>
            </x14:dxf>
          </x14:cfRule>
          <xm:sqref>AE350</xm:sqref>
        </x14:conditionalFormatting>
        <x14:conditionalFormatting xmlns:xm="http://schemas.microsoft.com/office/excel/2006/main">
          <x14:cfRule type="expression" priority="2024" id="{3BA7FC9F-C9F1-475A-A9E3-85BCA1D4542D}">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025" stopIfTrue="1" id="{7BD2C0D7-CA4F-4EBA-BCA5-543E2DCA4666}">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026" stopIfTrue="1" id="{088510B5-3896-456A-AC23-DBC1D8E633CB}">
            <xm:f>AND(IF(Q119&lt;'F:\Users\norela.briceno\Documents\Plan de acción\Plan Accion 2018\[Plan Accion Integrado ADRES Vigencia 2018 con Cuadro de Mando V6..xlsx]Plan de Accion 2018'!#REF!,Q119&lt;&gt;"N/A"))</xm:f>
            <x14:dxf>
              <fill>
                <patternFill>
                  <bgColor indexed="10"/>
                </patternFill>
              </fill>
            </x14:dxf>
          </x14:cfRule>
          <xm:sqref>Q119 AE119 X119</xm:sqref>
        </x14:conditionalFormatting>
        <x14:conditionalFormatting xmlns:xm="http://schemas.microsoft.com/office/excel/2006/main">
          <x14:cfRule type="expression" priority="2021" id="{9CF82B6D-4F98-4B90-BB70-9128399732D2}">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022" stopIfTrue="1" id="{2E238034-8059-41F4-A13D-A0BDD6B471F3}">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023" stopIfTrue="1" id="{B71FB041-85D2-4335-9C50-525DFD41C908}">
            <xm:f>AND(IF(Q119&lt;'F:\Users\norela.briceno\Documents\Plan de acción\Plan Accion 2018\[Plan Accion Integrado ADRES Vigencia 2018 con Cuadro de Mando V6..xlsx]Plan de Accion 2018'!#REF!,Q119&lt;&gt;"N/A"))</xm:f>
            <x14:dxf>
              <fill>
                <patternFill>
                  <bgColor indexed="10"/>
                </patternFill>
              </fill>
            </x14:dxf>
          </x14:cfRule>
          <xm:sqref>Q119</xm:sqref>
        </x14:conditionalFormatting>
        <x14:conditionalFormatting xmlns:xm="http://schemas.microsoft.com/office/excel/2006/main">
          <x14:cfRule type="expression" priority="2018" id="{F726D26D-06FE-434E-A66E-A5A100A2BC3C}">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2019" stopIfTrue="1" id="{6E5124F9-B2D7-468F-AC9A-8EA10A13AEF7}">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2020" stopIfTrue="1" id="{856501DF-3B3C-4717-B2C6-6413FEB83D1F}">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2015" id="{97A496E7-455E-439D-B5E6-276CC7C8A9E3}">
            <xm:f>AND(IF(AE119&gt;'F:\Users\norela.briceno\Documents\Plan de acción\Plan Accion 2018\[Plan Accion Integrado ADRES Vigencia 2018 con Cuadro de Mando V6..xlsx]Plan de Accion 2018'!#REF!,AE119&lt;&gt;¨N/A¨))</xm:f>
            <x14:dxf>
              <fill>
                <patternFill>
                  <bgColor theme="1" tint="0.499984740745262"/>
                </patternFill>
              </fill>
            </x14:dxf>
          </x14:cfRule>
          <x14:cfRule type="expression" priority="2016" stopIfTrue="1" id="{FF0954CE-3A86-44B0-AA92-16D97EABA41D}">
            <xm:f>AND(IF(AE119='F:\Users\norela.briceno\Documents\Plan de acción\Plan Accion 2018\[Plan Accion Integrado ADRES Vigencia 2018 con Cuadro de Mando V6..xlsx]Plan de Accion 2018'!#REF!,AE119&lt;&gt;"N/A"))</xm:f>
            <x14:dxf>
              <fill>
                <patternFill>
                  <bgColor rgb="FF00B050"/>
                </patternFill>
              </fill>
            </x14:dxf>
          </x14:cfRule>
          <x14:cfRule type="expression" priority="2017" stopIfTrue="1" id="{1BF117C0-CD20-49DB-9C30-1EEEC7ED4C58}">
            <xm:f>AND(IF(AE119&lt;'F:\Users\norela.briceno\Documents\Plan de acción\Plan Accion 2018\[Plan Accion Integrado ADRES Vigencia 2018 con Cuadro de Mando V6..xlsx]Plan de Accion 2018'!#REF!,AE119&lt;&gt;"N/A"))</xm:f>
            <x14:dxf>
              <fill>
                <patternFill>
                  <bgColor indexed="10"/>
                </patternFill>
              </fill>
            </x14:dxf>
          </x14:cfRule>
          <xm:sqref>AE119</xm:sqref>
        </x14:conditionalFormatting>
        <x14:conditionalFormatting xmlns:xm="http://schemas.microsoft.com/office/excel/2006/main">
          <x14:cfRule type="expression" priority="1665" id="{602CD7E8-BC32-498D-BE1F-890CF96958E3}">
            <xm:f>AND(IF(J347&gt;'F:\Users\norela.briceno\Documents\Plan de acción\Plan Accion 2018\[Plan Accion Integrado ADRES Vigencia 2018 con Cuadro de Mando V6..xlsx]Plan de Accion 2018'!#REF!,J347&lt;&gt;¨N/A¨))</xm:f>
            <x14:dxf>
              <fill>
                <patternFill>
                  <bgColor theme="1" tint="0.499984740745262"/>
                </patternFill>
              </fill>
            </x14:dxf>
          </x14:cfRule>
          <x14:cfRule type="expression" priority="1666" stopIfTrue="1" id="{887E1487-EF02-4A16-8983-FA7F1012523A}">
            <xm:f>AND(IF(J347='F:\Users\norela.briceno\Documents\Plan de acción\Plan Accion 2018\[Plan Accion Integrado ADRES Vigencia 2018 con Cuadro de Mando V6..xlsx]Plan de Accion 2018'!#REF!,J347&lt;&gt;"N/A"))</xm:f>
            <x14:dxf>
              <fill>
                <patternFill>
                  <bgColor rgb="FF00B050"/>
                </patternFill>
              </fill>
            </x14:dxf>
          </x14:cfRule>
          <x14:cfRule type="expression" priority="1667" stopIfTrue="1" id="{556A4987-359E-433C-97B7-363D84E30291}">
            <xm:f>AND(IF(J347&lt;'F:\Users\norela.briceno\Documents\Plan de acción\Plan Accion 2018\[Plan Accion Integrado ADRES Vigencia 2018 con Cuadro de Mando V6..xlsx]Plan de Accion 2018'!#REF!,J347&lt;&gt;"N/A"))</xm:f>
            <x14:dxf>
              <fill>
                <patternFill>
                  <bgColor indexed="10"/>
                </patternFill>
              </fill>
            </x14:dxf>
          </x14:cfRule>
          <xm:sqref>J347</xm:sqref>
        </x14:conditionalFormatting>
        <x14:conditionalFormatting xmlns:xm="http://schemas.microsoft.com/office/excel/2006/main">
          <x14:cfRule type="expression" priority="1662" id="{496FAE81-DC68-47EE-9658-8F9E70BC3B95}">
            <xm:f>AND(IF(Q347&gt;'F:\Users\norela.briceno\Documents\Plan de acción\Plan Accion 2018\[Plan Accion Integrado ADRES Vigencia 2018 con Cuadro de Mando V6..xlsx]Plan de Accion 2018'!#REF!,Q347&lt;&gt;¨N/A¨))</xm:f>
            <x14:dxf>
              <fill>
                <patternFill>
                  <bgColor theme="1" tint="0.499984740745262"/>
                </patternFill>
              </fill>
            </x14:dxf>
          </x14:cfRule>
          <x14:cfRule type="expression" priority="1663" stopIfTrue="1" id="{1ECDFB26-5B87-4A7B-87F0-3E7CDEE3B698}">
            <xm:f>AND(IF(Q347='F:\Users\norela.briceno\Documents\Plan de acción\Plan Accion 2018\[Plan Accion Integrado ADRES Vigencia 2018 con Cuadro de Mando V6..xlsx]Plan de Accion 2018'!#REF!,Q347&lt;&gt;"N/A"))</xm:f>
            <x14:dxf>
              <fill>
                <patternFill>
                  <bgColor rgb="FF00B050"/>
                </patternFill>
              </fill>
            </x14:dxf>
          </x14:cfRule>
          <x14:cfRule type="expression" priority="1664" stopIfTrue="1" id="{1E7C88D9-1189-409F-8990-CA8F14E7339A}">
            <xm:f>AND(IF(Q347&lt;'F:\Users\norela.briceno\Documents\Plan de acción\Plan Accion 2018\[Plan Accion Integrado ADRES Vigencia 2018 con Cuadro de Mando V6..xlsx]Plan de Accion 2018'!#REF!,Q347&lt;&gt;"N/A"))</xm:f>
            <x14:dxf>
              <fill>
                <patternFill>
                  <bgColor indexed="10"/>
                </patternFill>
              </fill>
            </x14:dxf>
          </x14:cfRule>
          <xm:sqref>Q347</xm:sqref>
        </x14:conditionalFormatting>
        <x14:conditionalFormatting xmlns:xm="http://schemas.microsoft.com/office/excel/2006/main">
          <x14:cfRule type="expression" priority="1659" id="{40A9D0E4-BFC4-4665-951C-00D902A5F1B3}">
            <xm:f>AND(IF(X347&gt;'F:\Users\norela.briceno\Documents\Plan de acción\Plan Accion 2018\[Plan Accion Integrado ADRES Vigencia 2018 con Cuadro de Mando V6..xlsx]Plan de Accion 2018'!#REF!,X347&lt;&gt;¨N/A¨))</xm:f>
            <x14:dxf>
              <fill>
                <patternFill>
                  <bgColor theme="1" tint="0.499984740745262"/>
                </patternFill>
              </fill>
            </x14:dxf>
          </x14:cfRule>
          <x14:cfRule type="expression" priority="1660" stopIfTrue="1" id="{0E6877D6-D240-4912-825B-6AEFCA22F22D}">
            <xm:f>AND(IF(X347='F:\Users\norela.briceno\Documents\Plan de acción\Plan Accion 2018\[Plan Accion Integrado ADRES Vigencia 2018 con Cuadro de Mando V6..xlsx]Plan de Accion 2018'!#REF!,X347&lt;&gt;"N/A"))</xm:f>
            <x14:dxf>
              <fill>
                <patternFill>
                  <bgColor rgb="FF00B050"/>
                </patternFill>
              </fill>
            </x14:dxf>
          </x14:cfRule>
          <x14:cfRule type="expression" priority="1661" stopIfTrue="1" id="{CBEACE43-FAAC-45CB-98AC-A831C43938AA}">
            <xm:f>AND(IF(X347&lt;'F:\Users\norela.briceno\Documents\Plan de acción\Plan Accion 2018\[Plan Accion Integrado ADRES Vigencia 2018 con Cuadro de Mando V6..xlsx]Plan de Accion 2018'!#REF!,X347&lt;&gt;"N/A"))</xm:f>
            <x14:dxf>
              <fill>
                <patternFill>
                  <bgColor indexed="10"/>
                </patternFill>
              </fill>
            </x14:dxf>
          </x14:cfRule>
          <xm:sqref>X347</xm:sqref>
        </x14:conditionalFormatting>
        <x14:conditionalFormatting xmlns:xm="http://schemas.microsoft.com/office/excel/2006/main">
          <x14:cfRule type="expression" priority="1656" id="{945D6640-1410-40C4-9D1B-F9E3BE33BB1D}">
            <xm:f>AND(IF(AE347&gt;'F:\Users\norela.briceno\Documents\Plan de acción\Plan Accion 2018\[Plan Accion Integrado ADRES Vigencia 2018 con Cuadro de Mando V6..xlsx]Plan de Accion 2018'!#REF!,AE347&lt;&gt;¨N/A¨))</xm:f>
            <x14:dxf>
              <fill>
                <patternFill>
                  <bgColor theme="1" tint="0.499984740745262"/>
                </patternFill>
              </fill>
            </x14:dxf>
          </x14:cfRule>
          <x14:cfRule type="expression" priority="1657" stopIfTrue="1" id="{65DBE290-6133-4FA2-8AB5-74E4942BAC84}">
            <xm:f>AND(IF(AE347='F:\Users\norela.briceno\Documents\Plan de acción\Plan Accion 2018\[Plan Accion Integrado ADRES Vigencia 2018 con Cuadro de Mando V6..xlsx]Plan de Accion 2018'!#REF!,AE347&lt;&gt;"N/A"))</xm:f>
            <x14:dxf>
              <fill>
                <patternFill>
                  <bgColor rgb="FF00B050"/>
                </patternFill>
              </fill>
            </x14:dxf>
          </x14:cfRule>
          <x14:cfRule type="expression" priority="1658" stopIfTrue="1" id="{BA00C218-6E0A-4F51-80B0-973F5AC7BC79}">
            <xm:f>AND(IF(AE347&lt;'F:\Users\norela.briceno\Documents\Plan de acción\Plan Accion 2018\[Plan Accion Integrado ADRES Vigencia 2018 con Cuadro de Mando V6..xlsx]Plan de Accion 2018'!#REF!,AE347&lt;&gt;"N/A"))</xm:f>
            <x14:dxf>
              <fill>
                <patternFill>
                  <bgColor indexed="10"/>
                </patternFill>
              </fill>
            </x14:dxf>
          </x14:cfRule>
          <xm:sqref>AE347</xm:sqref>
        </x14:conditionalFormatting>
        <x14:conditionalFormatting xmlns:xm="http://schemas.microsoft.com/office/excel/2006/main">
          <x14:cfRule type="expression" priority="1603" id="{2D2BA442-D9BD-4EC1-9E5A-0E09BC42FFCC}">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1604" stopIfTrue="1" id="{1ECF91F8-55D9-4209-95E5-6E6D91BAC30D}">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1605" stopIfTrue="1" id="{22DA0E9A-5E6A-4C4C-ACBE-01C1E095FA5D}">
            <xm:f>AND(IF(J299&lt;'F:\Users\norela.briceno\Documents\Plan de acción\Plan Accion 2018\[Plan Accion Integrado ADRES Vigencia 2018 con Cuadro de Mando V6..xlsx]Plan de Accion 2018'!#REF!,J299&lt;&gt;"N/A"))</xm:f>
            <x14:dxf>
              <fill>
                <patternFill>
                  <bgColor indexed="10"/>
                </patternFill>
              </fill>
            </x14:dxf>
          </x14:cfRule>
          <xm:sqref>J299 Q299 X299 AE299</xm:sqref>
        </x14:conditionalFormatting>
        <x14:conditionalFormatting xmlns:xm="http://schemas.microsoft.com/office/excel/2006/main">
          <x14:cfRule type="expression" priority="1510" id="{AE1F9C77-FDD5-4CD4-AEE0-C7F00EFFAA1C}">
            <xm:f>AND(IF(J132&gt;'F:\Users\norela.briceno\Documents\Plan de acción\Plan Accion 2018\[Plan Accion Integrado ADRES Vigencia 2018 con Cuadro de Mando V6..xlsx]Plan de Accion 2018'!#REF!,J132&lt;&gt;¨N/A¨))</xm:f>
            <x14:dxf>
              <fill>
                <patternFill>
                  <bgColor theme="1" tint="0.499984740745262"/>
                </patternFill>
              </fill>
            </x14:dxf>
          </x14:cfRule>
          <x14:cfRule type="expression" priority="1511" stopIfTrue="1" id="{17E93CC0-C63B-4475-98ED-EE079CB4BADF}">
            <xm:f>AND(IF(J132='F:\Users\norela.briceno\Documents\Plan de acción\Plan Accion 2018\[Plan Accion Integrado ADRES Vigencia 2018 con Cuadro de Mando V6..xlsx]Plan de Accion 2018'!#REF!,J132&lt;&gt;"N/A"))</xm:f>
            <x14:dxf>
              <fill>
                <patternFill>
                  <bgColor rgb="FF00B050"/>
                </patternFill>
              </fill>
            </x14:dxf>
          </x14:cfRule>
          <x14:cfRule type="expression" priority="1512" stopIfTrue="1" id="{E8ACF788-C6ED-4EC4-975A-BB7F0928B196}">
            <xm:f>AND(IF(J132&lt;'F:\Users\norela.briceno\Documents\Plan de acción\Plan Accion 2018\[Plan Accion Integrado ADRES Vigencia 2018 con Cuadro de Mando V6..xlsx]Plan de Accion 2018'!#REF!,J132&lt;&gt;"N/A"))</xm:f>
            <x14:dxf>
              <fill>
                <patternFill>
                  <bgColor indexed="10"/>
                </patternFill>
              </fill>
            </x14:dxf>
          </x14:cfRule>
          <xm:sqref>J132:J133</xm:sqref>
        </x14:conditionalFormatting>
        <x14:conditionalFormatting xmlns:xm="http://schemas.microsoft.com/office/excel/2006/main">
          <x14:cfRule type="expression" priority="1507" id="{265BC92A-C283-40E6-B4D8-C460BB7A3FD2}">
            <xm:f>AND(IF(Q132&gt;'F:\Users\norela.briceno\Documents\Plan de acción\Plan Accion 2018\[Plan Accion Integrado ADRES Vigencia 2018 con Cuadro de Mando V6..xlsx]Plan de Accion 2018'!#REF!,Q132&lt;&gt;¨N/A¨))</xm:f>
            <x14:dxf>
              <fill>
                <patternFill>
                  <bgColor theme="1" tint="0.499984740745262"/>
                </patternFill>
              </fill>
            </x14:dxf>
          </x14:cfRule>
          <x14:cfRule type="expression" priority="1508" stopIfTrue="1" id="{206441FC-9BCF-44F0-8352-C5CE2F376672}">
            <xm:f>AND(IF(Q132='F:\Users\norela.briceno\Documents\Plan de acción\Plan Accion 2018\[Plan Accion Integrado ADRES Vigencia 2018 con Cuadro de Mando V6..xlsx]Plan de Accion 2018'!#REF!,Q132&lt;&gt;"N/A"))</xm:f>
            <x14:dxf>
              <fill>
                <patternFill>
                  <bgColor rgb="FF00B050"/>
                </patternFill>
              </fill>
            </x14:dxf>
          </x14:cfRule>
          <x14:cfRule type="expression" priority="1509" stopIfTrue="1" id="{AE04547A-1923-434C-BBDD-D8F79E2BB5E7}">
            <xm:f>AND(IF(Q132&lt;'F:\Users\norela.briceno\Documents\Plan de acción\Plan Accion 2018\[Plan Accion Integrado ADRES Vigencia 2018 con Cuadro de Mando V6..xlsx]Plan de Accion 2018'!#REF!,Q132&lt;&gt;"N/A"))</xm:f>
            <x14:dxf>
              <fill>
                <patternFill>
                  <bgColor indexed="10"/>
                </patternFill>
              </fill>
            </x14:dxf>
          </x14:cfRule>
          <xm:sqref>Q132:Q133</xm:sqref>
        </x14:conditionalFormatting>
        <x14:conditionalFormatting xmlns:xm="http://schemas.microsoft.com/office/excel/2006/main">
          <x14:cfRule type="expression" priority="1504" id="{5BCB1227-C4B9-479E-9B52-C4590E4AA0AC}">
            <xm:f>AND(IF(X132&gt;'F:\Users\norela.briceno\Documents\Plan de acción\Plan Accion 2018\[Plan Accion Integrado ADRES Vigencia 2018 con Cuadro de Mando V6..xlsx]Plan de Accion 2018'!#REF!,X132&lt;&gt;¨N/A¨))</xm:f>
            <x14:dxf>
              <fill>
                <patternFill>
                  <bgColor theme="1" tint="0.499984740745262"/>
                </patternFill>
              </fill>
            </x14:dxf>
          </x14:cfRule>
          <x14:cfRule type="expression" priority="1505" stopIfTrue="1" id="{FBE3E364-ACD4-4E50-9751-EF9BD8A8E1B5}">
            <xm:f>AND(IF(X132='F:\Users\norela.briceno\Documents\Plan de acción\Plan Accion 2018\[Plan Accion Integrado ADRES Vigencia 2018 con Cuadro de Mando V6..xlsx]Plan de Accion 2018'!#REF!,X132&lt;&gt;"N/A"))</xm:f>
            <x14:dxf>
              <fill>
                <patternFill>
                  <bgColor rgb="FF00B050"/>
                </patternFill>
              </fill>
            </x14:dxf>
          </x14:cfRule>
          <x14:cfRule type="expression" priority="1506" stopIfTrue="1" id="{6D28D3E5-F49D-455D-A53F-729B8A456766}">
            <xm:f>AND(IF(X132&lt;'F:\Users\norela.briceno\Documents\Plan de acción\Plan Accion 2018\[Plan Accion Integrado ADRES Vigencia 2018 con Cuadro de Mando V6..xlsx]Plan de Accion 2018'!#REF!,X132&lt;&gt;"N/A"))</xm:f>
            <x14:dxf>
              <fill>
                <patternFill>
                  <bgColor indexed="10"/>
                </patternFill>
              </fill>
            </x14:dxf>
          </x14:cfRule>
          <xm:sqref>X132:X133</xm:sqref>
        </x14:conditionalFormatting>
        <x14:conditionalFormatting xmlns:xm="http://schemas.microsoft.com/office/excel/2006/main">
          <x14:cfRule type="expression" priority="1501" id="{F548B498-61D9-4342-9F2A-A7561A5147C4}">
            <xm:f>AND(IF(AE132&gt;'F:\Users\norela.briceno\Documents\Plan de acción\Plan Accion 2018\[Plan Accion Integrado ADRES Vigencia 2018 con Cuadro de Mando V6..xlsx]Plan de Accion 2018'!#REF!,AE132&lt;&gt;¨N/A¨))</xm:f>
            <x14:dxf>
              <fill>
                <patternFill>
                  <bgColor theme="1" tint="0.499984740745262"/>
                </patternFill>
              </fill>
            </x14:dxf>
          </x14:cfRule>
          <x14:cfRule type="expression" priority="1502" stopIfTrue="1" id="{F0ADC9ED-35A6-4F82-BCF6-0A24EEA1B016}">
            <xm:f>AND(IF(AE132='F:\Users\norela.briceno\Documents\Plan de acción\Plan Accion 2018\[Plan Accion Integrado ADRES Vigencia 2018 con Cuadro de Mando V6..xlsx]Plan de Accion 2018'!#REF!,AE132&lt;&gt;"N/A"))</xm:f>
            <x14:dxf>
              <fill>
                <patternFill>
                  <bgColor rgb="FF00B050"/>
                </patternFill>
              </fill>
            </x14:dxf>
          </x14:cfRule>
          <x14:cfRule type="expression" priority="1503" stopIfTrue="1" id="{4C351E4E-C535-4BA7-9B0B-D8A4AFBCE771}">
            <xm:f>AND(IF(AE132&lt;'F:\Users\norela.briceno\Documents\Plan de acción\Plan Accion 2018\[Plan Accion Integrado ADRES Vigencia 2018 con Cuadro de Mando V6..xlsx]Plan de Accion 2018'!#REF!,AE132&lt;&gt;"N/A"))</xm:f>
            <x14:dxf>
              <fill>
                <patternFill>
                  <bgColor indexed="10"/>
                </patternFill>
              </fill>
            </x14:dxf>
          </x14:cfRule>
          <xm:sqref>AE132:AE133</xm:sqref>
        </x14:conditionalFormatting>
        <x14:conditionalFormatting xmlns:xm="http://schemas.microsoft.com/office/excel/2006/main">
          <x14:cfRule type="expression" priority="1438" id="{A38C7D23-21FC-42E3-BC13-086FE5CBBC30}">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1439" stopIfTrue="1" id="{60514FF1-EF50-4ED1-8FED-1CA16ABF0811}">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1440" stopIfTrue="1" id="{A1EB86BE-0A91-4172-A07D-EE2E8A7AAE8B}">
            <xm:f>AND(IF(J55&lt;'F:\Users\norela.briceno\Documents\Plan de acción\Plan Accion 2018\[Plan Accion Integrado ADRES Vigencia 2018 con Cuadro de Mando V6..xlsx]Plan de Accion 2018'!#REF!,J55&lt;&gt;"N/A"))</xm:f>
            <x14:dxf>
              <fill>
                <patternFill>
                  <bgColor indexed="10"/>
                </patternFill>
              </fill>
            </x14:dxf>
          </x14:cfRule>
          <xm:sqref>J55 Q55</xm:sqref>
        </x14:conditionalFormatting>
        <x14:conditionalFormatting xmlns:xm="http://schemas.microsoft.com/office/excel/2006/main">
          <x14:cfRule type="expression" priority="1435" id="{282FF075-EDD1-46E0-B570-ED29AE1B9C31}">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1436" stopIfTrue="1" id="{4A25C859-9FB5-4496-AB92-413FD3BAE319}">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1437" stopIfTrue="1" id="{62A58126-ABA9-42D4-B7F5-4DF12232ABDA}">
            <xm:f>AND(IF(J55&lt;'F:\Users\norela.briceno\Documents\Plan de acción\Plan Accion 2018\[Plan Accion Integrado ADRES Vigencia 2018 con Cuadro de Mando V6..xlsx]Plan de Accion 2018'!#REF!,J55&lt;&gt;"N/A"))</xm:f>
            <x14:dxf>
              <fill>
                <patternFill>
                  <bgColor indexed="10"/>
                </patternFill>
              </fill>
            </x14:dxf>
          </x14:cfRule>
          <xm:sqref>J55</xm:sqref>
        </x14:conditionalFormatting>
        <x14:conditionalFormatting xmlns:xm="http://schemas.microsoft.com/office/excel/2006/main">
          <x14:cfRule type="expression" priority="1432" id="{FE19A034-C138-4048-9FA9-5F60383D2D1D}">
            <xm:f>AND(IF(Q55&gt;'F:\Users\norela.briceno\Documents\Plan de acción\Plan Accion 2018\[Plan Accion Integrado ADRES Vigencia 2018 con Cuadro de Mando V6..xlsx]Plan de Accion 2018'!#REF!,Q55&lt;&gt;¨N/A¨))</xm:f>
            <x14:dxf>
              <fill>
                <patternFill>
                  <bgColor theme="1" tint="0.499984740745262"/>
                </patternFill>
              </fill>
            </x14:dxf>
          </x14:cfRule>
          <x14:cfRule type="expression" priority="1433" stopIfTrue="1" id="{CB6987C7-17C8-4852-A63A-88CB043BC1FC}">
            <xm:f>AND(IF(Q55='F:\Users\norela.briceno\Documents\Plan de acción\Plan Accion 2018\[Plan Accion Integrado ADRES Vigencia 2018 con Cuadro de Mando V6..xlsx]Plan de Accion 2018'!#REF!,Q55&lt;&gt;"N/A"))</xm:f>
            <x14:dxf>
              <fill>
                <patternFill>
                  <bgColor rgb="FF00B050"/>
                </patternFill>
              </fill>
            </x14:dxf>
          </x14:cfRule>
          <x14:cfRule type="expression" priority="1434" stopIfTrue="1" id="{58CBED7D-96CA-4FDC-8BDC-9025C936CB25}">
            <xm:f>AND(IF(Q55&lt;'F:\Users\norela.briceno\Documents\Plan de acción\Plan Accion 2018\[Plan Accion Integrado ADRES Vigencia 2018 con Cuadro de Mando V6..xlsx]Plan de Accion 2018'!#REF!,Q55&lt;&gt;"N/A"))</xm:f>
            <x14:dxf>
              <fill>
                <patternFill>
                  <bgColor indexed="10"/>
                </patternFill>
              </fill>
            </x14:dxf>
          </x14:cfRule>
          <xm:sqref>Q55</xm:sqref>
        </x14:conditionalFormatting>
        <x14:conditionalFormatting xmlns:xm="http://schemas.microsoft.com/office/excel/2006/main">
          <x14:cfRule type="expression" priority="1318" id="{840DBA37-6C30-481D-AFAD-9667498F2D26}">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1319" stopIfTrue="1" id="{3AE5F2D1-523F-4169-B6A4-4506FAB45EA8}">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1320" stopIfTrue="1" id="{E9A91ACA-4811-432E-9B21-ADC017D46330}">
            <xm:f>AND(IF(J227&lt;'F:\Users\norela.briceno\Documents\Plan de acción\Plan Accion 2018\[Plan Accion Integrado ADRES Vigencia 2018 con Cuadro de Mando V6..xlsx]Plan de Accion 2018'!#REF!,J227&lt;&gt;"N/A"))</xm:f>
            <x14:dxf>
              <fill>
                <patternFill>
                  <bgColor indexed="10"/>
                </patternFill>
              </fill>
            </x14:dxf>
          </x14:cfRule>
          <xm:sqref>J227</xm:sqref>
        </x14:conditionalFormatting>
        <x14:conditionalFormatting xmlns:xm="http://schemas.microsoft.com/office/excel/2006/main">
          <x14:cfRule type="expression" priority="1315" id="{5EBA3657-85BA-4745-9B5D-0388C0E51572}">
            <xm:f>AND(IF(Q227&gt;'F:\Users\norela.briceno\Documents\Plan de acción\Plan Accion 2018\[Plan Accion Integrado ADRES Vigencia 2018 con Cuadro de Mando V6..xlsx]Plan de Accion 2018'!#REF!,Q227&lt;&gt;¨N/A¨))</xm:f>
            <x14:dxf>
              <fill>
                <patternFill>
                  <bgColor theme="1" tint="0.499984740745262"/>
                </patternFill>
              </fill>
            </x14:dxf>
          </x14:cfRule>
          <x14:cfRule type="expression" priority="1316" stopIfTrue="1" id="{D3226073-BD3D-4524-B39F-FF585E3619FB}">
            <xm:f>AND(IF(Q227='F:\Users\norela.briceno\Documents\Plan de acción\Plan Accion 2018\[Plan Accion Integrado ADRES Vigencia 2018 con Cuadro de Mando V6..xlsx]Plan de Accion 2018'!#REF!,Q227&lt;&gt;"N/A"))</xm:f>
            <x14:dxf>
              <fill>
                <patternFill>
                  <bgColor rgb="FF00B050"/>
                </patternFill>
              </fill>
            </x14:dxf>
          </x14:cfRule>
          <x14:cfRule type="expression" priority="1317" stopIfTrue="1" id="{044304B6-CAC2-4A07-B9F9-EBF7E37BCC9D}">
            <xm:f>AND(IF(Q227&lt;'F:\Users\norela.briceno\Documents\Plan de acción\Plan Accion 2018\[Plan Accion Integrado ADRES Vigencia 2018 con Cuadro de Mando V6..xlsx]Plan de Accion 2018'!#REF!,Q227&lt;&gt;"N/A"))</xm:f>
            <x14:dxf>
              <fill>
                <patternFill>
                  <bgColor indexed="10"/>
                </patternFill>
              </fill>
            </x14:dxf>
          </x14:cfRule>
          <xm:sqref>Q227</xm:sqref>
        </x14:conditionalFormatting>
        <x14:conditionalFormatting xmlns:xm="http://schemas.microsoft.com/office/excel/2006/main">
          <x14:cfRule type="expression" priority="1312" id="{91ACDC5D-88E6-4F01-ABBD-8E50A71BD3EC}">
            <xm:f>AND(IF(X227&gt;'F:\Users\norela.briceno\Documents\Plan de acción\Plan Accion 2018\[Plan Accion Integrado ADRES Vigencia 2018 con Cuadro de Mando V6..xlsx]Plan de Accion 2018'!#REF!,X227&lt;&gt;¨N/A¨))</xm:f>
            <x14:dxf>
              <fill>
                <patternFill>
                  <bgColor theme="1" tint="0.499984740745262"/>
                </patternFill>
              </fill>
            </x14:dxf>
          </x14:cfRule>
          <x14:cfRule type="expression" priority="1313" stopIfTrue="1" id="{365CB766-BB38-4E41-A973-6CD8C428F64F}">
            <xm:f>AND(IF(X227='F:\Users\norela.briceno\Documents\Plan de acción\Plan Accion 2018\[Plan Accion Integrado ADRES Vigencia 2018 con Cuadro de Mando V6..xlsx]Plan de Accion 2018'!#REF!,X227&lt;&gt;"N/A"))</xm:f>
            <x14:dxf>
              <fill>
                <patternFill>
                  <bgColor rgb="FF00B050"/>
                </patternFill>
              </fill>
            </x14:dxf>
          </x14:cfRule>
          <x14:cfRule type="expression" priority="1314" stopIfTrue="1" id="{FA27FC7D-C3E2-4178-A0BF-E721B50E9935}">
            <xm:f>AND(IF(X227&lt;'F:\Users\norela.briceno\Documents\Plan de acción\Plan Accion 2018\[Plan Accion Integrado ADRES Vigencia 2018 con Cuadro de Mando V6..xlsx]Plan de Accion 2018'!#REF!,X227&lt;&gt;"N/A"))</xm:f>
            <x14:dxf>
              <fill>
                <patternFill>
                  <bgColor indexed="10"/>
                </patternFill>
              </fill>
            </x14:dxf>
          </x14:cfRule>
          <xm:sqref>X227</xm:sqref>
        </x14:conditionalFormatting>
        <x14:conditionalFormatting xmlns:xm="http://schemas.microsoft.com/office/excel/2006/main">
          <x14:cfRule type="expression" priority="1309" id="{5DD083DE-44C4-4C9B-9580-88E77B557D8D}">
            <xm:f>AND(IF(AE227&gt;'F:\Users\norela.briceno\Documents\Plan de acción\Plan Accion 2018\[Plan Accion Integrado ADRES Vigencia 2018 con Cuadro de Mando V6..xlsx]Plan de Accion 2018'!#REF!,AE227&lt;&gt;¨N/A¨))</xm:f>
            <x14:dxf>
              <fill>
                <patternFill>
                  <bgColor theme="1" tint="0.499984740745262"/>
                </patternFill>
              </fill>
            </x14:dxf>
          </x14:cfRule>
          <x14:cfRule type="expression" priority="1310" stopIfTrue="1" id="{2F00E5EC-DE5D-477A-BCF0-387F0253BD0E}">
            <xm:f>AND(IF(AE227='F:\Users\norela.briceno\Documents\Plan de acción\Plan Accion 2018\[Plan Accion Integrado ADRES Vigencia 2018 con Cuadro de Mando V6..xlsx]Plan de Accion 2018'!#REF!,AE227&lt;&gt;"N/A"))</xm:f>
            <x14:dxf>
              <fill>
                <patternFill>
                  <bgColor rgb="FF00B050"/>
                </patternFill>
              </fill>
            </x14:dxf>
          </x14:cfRule>
          <x14:cfRule type="expression" priority="1311" stopIfTrue="1" id="{584F9515-EB8A-4E80-BCE2-CA9422D3C242}">
            <xm:f>AND(IF(AE227&lt;'F:\Users\norela.briceno\Documents\Plan de acción\Plan Accion 2018\[Plan Accion Integrado ADRES Vigencia 2018 con Cuadro de Mando V6..xlsx]Plan de Accion 2018'!#REF!,AE227&lt;&gt;"N/A"))</xm:f>
            <x14:dxf>
              <fill>
                <patternFill>
                  <bgColor indexed="10"/>
                </patternFill>
              </fill>
            </x14:dxf>
          </x14:cfRule>
          <xm:sqref>AE227</xm:sqref>
        </x14:conditionalFormatting>
        <x14:conditionalFormatting xmlns:xm="http://schemas.microsoft.com/office/excel/2006/main">
          <x14:cfRule type="expression" priority="1266" id="{5AE349D5-8FEF-4E8F-9DD6-BB8BF0673F69}">
            <xm:f>AND(IF(X55&gt;'F:\Users\norela.briceno\Documents\Plan de acción\Plan Accion 2018\[Plan Accion Integrado ADRES Vigencia 2018 con Cuadro de Mando V6..xlsx]Plan de Accion 2018'!#REF!,X55&lt;&gt;¨N/A¨))</xm:f>
            <x14:dxf>
              <fill>
                <patternFill>
                  <bgColor theme="1" tint="0.499984740745262"/>
                </patternFill>
              </fill>
            </x14:dxf>
          </x14:cfRule>
          <x14:cfRule type="expression" priority="1267" stopIfTrue="1" id="{B3013F19-0546-4CA9-A7B4-E4C9CA48B0D2}">
            <xm:f>AND(IF(X55='F:\Users\norela.briceno\Documents\Plan de acción\Plan Accion 2018\[Plan Accion Integrado ADRES Vigencia 2018 con Cuadro de Mando V6..xlsx]Plan de Accion 2018'!#REF!,X55&lt;&gt;"N/A"))</xm:f>
            <x14:dxf>
              <fill>
                <patternFill>
                  <bgColor rgb="FF00B050"/>
                </patternFill>
              </fill>
            </x14:dxf>
          </x14:cfRule>
          <x14:cfRule type="expression" priority="1268" stopIfTrue="1" id="{8D0BFDD9-1EEA-4DC1-986F-57478431DF91}">
            <xm:f>AND(IF(X55&lt;'F:\Users\norela.briceno\Documents\Plan de acción\Plan Accion 2018\[Plan Accion Integrado ADRES Vigencia 2018 con Cuadro de Mando V6..xlsx]Plan de Accion 2018'!#REF!,X55&lt;&gt;"N/A"))</xm:f>
            <x14:dxf>
              <fill>
                <patternFill>
                  <bgColor indexed="10"/>
                </patternFill>
              </fill>
            </x14:dxf>
          </x14:cfRule>
          <xm:sqref>X55 AE55</xm:sqref>
        </x14:conditionalFormatting>
        <x14:conditionalFormatting xmlns:xm="http://schemas.microsoft.com/office/excel/2006/main">
          <x14:cfRule type="expression" priority="1098" id="{800322B1-2AD2-403B-9472-11850BD5FBF6}">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099" stopIfTrue="1" id="{78A372DF-952F-476D-B559-EEAADCE3A314}">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100" stopIfTrue="1" id="{C8EADEC5-05C8-4916-9E51-9B9ABB4BFD53}">
            <xm:f>AND(IF(J64&lt;'F:\Users\norela.briceno\Documents\Plan de acción\Plan Accion 2018\[Plan Accion Integrado ADRES Vigencia 2018 con Cuadro de Mando V6..xlsx]Plan de Accion 2018'!#REF!,J64&lt;&gt;"N/A"))</xm:f>
            <x14:dxf>
              <fill>
                <patternFill>
                  <bgColor indexed="10"/>
                </patternFill>
              </fill>
            </x14:dxf>
          </x14:cfRule>
          <xm:sqref>J64 Q64 AE64 X64</xm:sqref>
        </x14:conditionalFormatting>
        <x14:conditionalFormatting xmlns:xm="http://schemas.microsoft.com/office/excel/2006/main">
          <x14:cfRule type="expression" priority="1095" id="{E636E4D7-21B8-43F0-B960-0A0AA27C0DF5}">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096" stopIfTrue="1" id="{0C0DFA1A-940F-41AB-9558-51A30EEED6C0}">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097" stopIfTrue="1" id="{A6CD7433-7773-4432-B6CD-93EE0E66B248}">
            <xm:f>AND(IF(J64&lt;'F:\Users\norela.briceno\Documents\Plan de acción\Plan Accion 2018\[Plan Accion Integrado ADRES Vigencia 2018 con Cuadro de Mando V6..xlsx]Plan de Accion 2018'!#REF!,J64&lt;&gt;"N/A"))</xm:f>
            <x14:dxf>
              <fill>
                <patternFill>
                  <bgColor indexed="10"/>
                </patternFill>
              </fill>
            </x14:dxf>
          </x14:cfRule>
          <xm:sqref>J64</xm:sqref>
        </x14:conditionalFormatting>
        <x14:conditionalFormatting xmlns:xm="http://schemas.microsoft.com/office/excel/2006/main">
          <x14:cfRule type="expression" priority="1092" id="{D67DF87B-ECC3-4B5B-B3AC-0AE9B0671B63}">
            <xm:f>AND(IF(Q64&gt;'F:\Users\norela.briceno\Documents\Plan de acción\Plan Accion 2018\[Plan Accion Integrado ADRES Vigencia 2018 con Cuadro de Mando V6..xlsx]Plan de Accion 2018'!#REF!,Q64&lt;&gt;¨N/A¨))</xm:f>
            <x14:dxf>
              <fill>
                <patternFill>
                  <bgColor theme="1" tint="0.499984740745262"/>
                </patternFill>
              </fill>
            </x14:dxf>
          </x14:cfRule>
          <x14:cfRule type="expression" priority="1093" stopIfTrue="1" id="{0FC75A90-A530-4F09-A6E6-79FDA55EAE93}">
            <xm:f>AND(IF(Q64='F:\Users\norela.briceno\Documents\Plan de acción\Plan Accion 2018\[Plan Accion Integrado ADRES Vigencia 2018 con Cuadro de Mando V6..xlsx]Plan de Accion 2018'!#REF!,Q64&lt;&gt;"N/A"))</xm:f>
            <x14:dxf>
              <fill>
                <patternFill>
                  <bgColor rgb="FF00B050"/>
                </patternFill>
              </fill>
            </x14:dxf>
          </x14:cfRule>
          <x14:cfRule type="expression" priority="1094" stopIfTrue="1" id="{BD1DA7A8-29D0-4E88-BC7E-D2E3BCAFAA2C}">
            <xm:f>AND(IF(Q64&lt;'F:\Users\norela.briceno\Documents\Plan de acción\Plan Accion 2018\[Plan Accion Integrado ADRES Vigencia 2018 con Cuadro de Mando V6..xlsx]Plan de Accion 2018'!#REF!,Q64&lt;&gt;"N/A"))</xm:f>
            <x14:dxf>
              <fill>
                <patternFill>
                  <bgColor indexed="10"/>
                </patternFill>
              </fill>
            </x14:dxf>
          </x14:cfRule>
          <xm:sqref>Q64</xm:sqref>
        </x14:conditionalFormatting>
        <x14:conditionalFormatting xmlns:xm="http://schemas.microsoft.com/office/excel/2006/main">
          <x14:cfRule type="expression" priority="1089" id="{A4277784-BEB0-4EAE-B535-80E310D8344C}">
            <xm:f>AND(IF(X64&gt;'F:\Users\norela.briceno\Documents\Plan de acción\Plan Accion 2018\[Plan Accion Integrado ADRES Vigencia 2018 con Cuadro de Mando V6..xlsx]Plan de Accion 2018'!#REF!,X64&lt;&gt;¨N/A¨))</xm:f>
            <x14:dxf>
              <fill>
                <patternFill>
                  <bgColor theme="1" tint="0.499984740745262"/>
                </patternFill>
              </fill>
            </x14:dxf>
          </x14:cfRule>
          <x14:cfRule type="expression" priority="1090" stopIfTrue="1" id="{65B84A2D-1BFB-404D-9E53-CBD9711305CA}">
            <xm:f>AND(IF(X64='F:\Users\norela.briceno\Documents\Plan de acción\Plan Accion 2018\[Plan Accion Integrado ADRES Vigencia 2018 con Cuadro de Mando V6..xlsx]Plan de Accion 2018'!#REF!,X64&lt;&gt;"N/A"))</xm:f>
            <x14:dxf>
              <fill>
                <patternFill>
                  <bgColor rgb="FF00B050"/>
                </patternFill>
              </fill>
            </x14:dxf>
          </x14:cfRule>
          <x14:cfRule type="expression" priority="1091" stopIfTrue="1" id="{D279B7CF-0991-414A-B6EC-603E728A2DE8}">
            <xm:f>AND(IF(X64&lt;'F:\Users\norela.briceno\Documents\Plan de acción\Plan Accion 2018\[Plan Accion Integrado ADRES Vigencia 2018 con Cuadro de Mando V6..xlsx]Plan de Accion 2018'!#REF!,X64&lt;&gt;"N/A"))</xm:f>
            <x14:dxf>
              <fill>
                <patternFill>
                  <bgColor indexed="10"/>
                </patternFill>
              </fill>
            </x14:dxf>
          </x14:cfRule>
          <xm:sqref>X64</xm:sqref>
        </x14:conditionalFormatting>
        <x14:conditionalFormatting xmlns:xm="http://schemas.microsoft.com/office/excel/2006/main">
          <x14:cfRule type="expression" priority="1086" id="{2B3A6881-6498-4DF2-9277-9260D273C4C2}">
            <xm:f>AND(IF(AE64&gt;'F:\Users\norela.briceno\Documents\Plan de acción\Plan Accion 2018\[Plan Accion Integrado ADRES Vigencia 2018 con Cuadro de Mando V6..xlsx]Plan de Accion 2018'!#REF!,AE64&lt;&gt;¨N/A¨))</xm:f>
            <x14:dxf>
              <fill>
                <patternFill>
                  <bgColor theme="1" tint="0.499984740745262"/>
                </patternFill>
              </fill>
            </x14:dxf>
          </x14:cfRule>
          <x14:cfRule type="expression" priority="1087" stopIfTrue="1" id="{83307F71-0BCC-4AC9-992A-46E7322E6EA1}">
            <xm:f>AND(IF(AE64='F:\Users\norela.briceno\Documents\Plan de acción\Plan Accion 2018\[Plan Accion Integrado ADRES Vigencia 2018 con Cuadro de Mando V6..xlsx]Plan de Accion 2018'!#REF!,AE64&lt;&gt;"N/A"))</xm:f>
            <x14:dxf>
              <fill>
                <patternFill>
                  <bgColor rgb="FF00B050"/>
                </patternFill>
              </fill>
            </x14:dxf>
          </x14:cfRule>
          <x14:cfRule type="expression" priority="1088" stopIfTrue="1" id="{766BC5E5-86F6-410F-A0C2-0D7FF40ECC8A}">
            <xm:f>AND(IF(AE64&lt;'F:\Users\norela.briceno\Documents\Plan de acción\Plan Accion 2018\[Plan Accion Integrado ADRES Vigencia 2018 con Cuadro de Mando V6..xlsx]Plan de Accion 2018'!#REF!,AE64&lt;&gt;"N/A"))</xm:f>
            <x14:dxf>
              <fill>
                <patternFill>
                  <bgColor indexed="10"/>
                </patternFill>
              </fill>
            </x14:dxf>
          </x14:cfRule>
          <xm:sqref>AE64</xm:sqref>
        </x14:conditionalFormatting>
        <x14:conditionalFormatting xmlns:xm="http://schemas.microsoft.com/office/excel/2006/main">
          <x14:cfRule type="expression" priority="1003" id="{01BD01AB-AB97-401D-AA0C-AF053BFFB0A7}">
            <xm:f>AND(IF(J351&gt;'F:\Users\norela.briceno\Documents\Plan de acción\Plan Accion 2018\[Plan Accion Integrado ADRES Vigencia 2018 con Cuadro de Mando V6..xlsx]Plan de Accion 2018'!#REF!,J351&lt;&gt;¨N/A¨))</xm:f>
            <x14:dxf>
              <fill>
                <patternFill>
                  <bgColor theme="1" tint="0.499984740745262"/>
                </patternFill>
              </fill>
            </x14:dxf>
          </x14:cfRule>
          <x14:cfRule type="expression" priority="1004" stopIfTrue="1" id="{6A760AD4-2DD0-4058-BF25-241124174528}">
            <xm:f>AND(IF(J351='F:\Users\norela.briceno\Documents\Plan de acción\Plan Accion 2018\[Plan Accion Integrado ADRES Vigencia 2018 con Cuadro de Mando V6..xlsx]Plan de Accion 2018'!#REF!,J351&lt;&gt;"N/A"))</xm:f>
            <x14:dxf>
              <fill>
                <patternFill>
                  <bgColor rgb="FF00B050"/>
                </patternFill>
              </fill>
            </x14:dxf>
          </x14:cfRule>
          <x14:cfRule type="expression" priority="1005" stopIfTrue="1" id="{C2120111-F412-4B58-B65E-87E2D2366CDF}">
            <xm:f>AND(IF(J351&lt;'F:\Users\norela.briceno\Documents\Plan de acción\Plan Accion 2018\[Plan Accion Integrado ADRES Vigencia 2018 con Cuadro de Mando V6..xlsx]Plan de Accion 2018'!#REF!,J351&lt;&gt;"N/A"))</xm:f>
            <x14:dxf>
              <fill>
                <patternFill>
                  <bgColor indexed="10"/>
                </patternFill>
              </fill>
            </x14:dxf>
          </x14:cfRule>
          <xm:sqref>J351</xm:sqref>
        </x14:conditionalFormatting>
        <x14:conditionalFormatting xmlns:xm="http://schemas.microsoft.com/office/excel/2006/main">
          <x14:cfRule type="expression" priority="921" id="{8F0FA9A4-3F1A-4F59-83A7-2A27251A29DB}">
            <xm:f>AND(IF(Q351&gt;'F:\Users\norela.briceno\Documents\Plan de acción\Plan Accion 2018\[Plan Accion Integrado ADRES Vigencia 2018 con Cuadro de Mando V6..xlsx]Plan de Accion 2018'!#REF!,Q351&lt;&gt;¨N/A¨))</xm:f>
            <x14:dxf>
              <fill>
                <patternFill>
                  <bgColor theme="1" tint="0.499984740745262"/>
                </patternFill>
              </fill>
            </x14:dxf>
          </x14:cfRule>
          <x14:cfRule type="expression" priority="922" stopIfTrue="1" id="{75A286E9-7328-4904-AE66-C29A9860E4C7}">
            <xm:f>AND(IF(Q351='F:\Users\norela.briceno\Documents\Plan de acción\Plan Accion 2018\[Plan Accion Integrado ADRES Vigencia 2018 con Cuadro de Mando V6..xlsx]Plan de Accion 2018'!#REF!,Q351&lt;&gt;"N/A"))</xm:f>
            <x14:dxf>
              <fill>
                <patternFill>
                  <bgColor rgb="FF00B050"/>
                </patternFill>
              </fill>
            </x14:dxf>
          </x14:cfRule>
          <x14:cfRule type="expression" priority="923" stopIfTrue="1" id="{8F783FC7-FF8F-4306-8812-1354B0B5F547}">
            <xm:f>AND(IF(Q351&lt;'F:\Users\norela.briceno\Documents\Plan de acción\Plan Accion 2018\[Plan Accion Integrado ADRES Vigencia 2018 con Cuadro de Mando V6..xlsx]Plan de Accion 2018'!#REF!,Q351&lt;&gt;"N/A"))</xm:f>
            <x14:dxf>
              <fill>
                <patternFill>
                  <bgColor indexed="10"/>
                </patternFill>
              </fill>
            </x14:dxf>
          </x14:cfRule>
          <xm:sqref>Q351</xm:sqref>
        </x14:conditionalFormatting>
        <x14:conditionalFormatting xmlns:xm="http://schemas.microsoft.com/office/excel/2006/main">
          <x14:cfRule type="expression" priority="848" id="{6F59AD7B-FA33-4C89-85A4-9001EADFE1F5}">
            <xm:f>AND(IF(X351&gt;'F:\Users\norela.briceno\Documents\Plan de acción\Plan Accion 2018\[Plan Accion Integrado ADRES Vigencia 2018 con Cuadro de Mando V6..xlsx]Plan de Accion 2018'!#REF!,X351&lt;&gt;¨N/A¨))</xm:f>
            <x14:dxf>
              <fill>
                <patternFill>
                  <bgColor theme="1" tint="0.499984740745262"/>
                </patternFill>
              </fill>
            </x14:dxf>
          </x14:cfRule>
          <x14:cfRule type="expression" priority="849" stopIfTrue="1" id="{2BDA1826-05DC-4BB8-9B4D-4DFC517EB481}">
            <xm:f>AND(IF(X351='F:\Users\norela.briceno\Documents\Plan de acción\Plan Accion 2018\[Plan Accion Integrado ADRES Vigencia 2018 con Cuadro de Mando V6..xlsx]Plan de Accion 2018'!#REF!,X351&lt;&gt;"N/A"))</xm:f>
            <x14:dxf>
              <fill>
                <patternFill>
                  <bgColor rgb="FF00B050"/>
                </patternFill>
              </fill>
            </x14:dxf>
          </x14:cfRule>
          <x14:cfRule type="expression" priority="850" stopIfTrue="1" id="{059279B0-4702-437A-9CA5-C4BCE7063514}">
            <xm:f>AND(IF(X351&lt;'F:\Users\norela.briceno\Documents\Plan de acción\Plan Accion 2018\[Plan Accion Integrado ADRES Vigencia 2018 con Cuadro de Mando V6..xlsx]Plan de Accion 2018'!#REF!,X351&lt;&gt;"N/A"))</xm:f>
            <x14:dxf>
              <fill>
                <patternFill>
                  <bgColor indexed="10"/>
                </patternFill>
              </fill>
            </x14:dxf>
          </x14:cfRule>
          <xm:sqref>X351</xm:sqref>
        </x14:conditionalFormatting>
        <x14:conditionalFormatting xmlns:xm="http://schemas.microsoft.com/office/excel/2006/main">
          <x14:cfRule type="expression" priority="845" id="{1EC42934-15EC-4C4B-9178-897B51337A00}">
            <xm:f>AND(IF(AE351&gt;'F:\Users\norela.briceno\Documents\Plan de acción\Plan Accion 2018\[Plan Accion Integrado ADRES Vigencia 2018 con Cuadro de Mando V6..xlsx]Plan de Accion 2018'!#REF!,AE351&lt;&gt;¨N/A¨))</xm:f>
            <x14:dxf>
              <fill>
                <patternFill>
                  <bgColor theme="1" tint="0.499984740745262"/>
                </patternFill>
              </fill>
            </x14:dxf>
          </x14:cfRule>
          <x14:cfRule type="expression" priority="846" stopIfTrue="1" id="{F29E128A-06C3-4B6B-B1E1-63748059E027}">
            <xm:f>AND(IF(AE351='F:\Users\norela.briceno\Documents\Plan de acción\Plan Accion 2018\[Plan Accion Integrado ADRES Vigencia 2018 con Cuadro de Mando V6..xlsx]Plan de Accion 2018'!#REF!,AE351&lt;&gt;"N/A"))</xm:f>
            <x14:dxf>
              <fill>
                <patternFill>
                  <bgColor rgb="FF00B050"/>
                </patternFill>
              </fill>
            </x14:dxf>
          </x14:cfRule>
          <x14:cfRule type="expression" priority="847" stopIfTrue="1" id="{89B55203-D037-486A-B1FC-CEF00A8AB4EB}">
            <xm:f>AND(IF(AE351&lt;'F:\Users\norela.briceno\Documents\Plan de acción\Plan Accion 2018\[Plan Accion Integrado ADRES Vigencia 2018 con Cuadro de Mando V6..xlsx]Plan de Accion 2018'!#REF!,AE351&lt;&gt;"N/A"))</xm:f>
            <x14:dxf>
              <fill>
                <patternFill>
                  <bgColor indexed="10"/>
                </patternFill>
              </fill>
            </x14:dxf>
          </x14:cfRule>
          <xm:sqref>AE351</xm:sqref>
        </x14:conditionalFormatting>
        <x14:conditionalFormatting xmlns:xm="http://schemas.microsoft.com/office/excel/2006/main">
          <x14:cfRule type="expression" priority="677" id="{789CB4A6-2E3F-4AA5-8F0D-EFA726E21279}">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678" stopIfTrue="1" id="{6F409A15-B6F9-433F-9055-1D7FDFEFF8DB}">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679" stopIfTrue="1" id="{6EA42FF7-9F95-4D78-8A5F-5CD94EB4A1CA}">
            <xm:f>AND(IF(J281&lt;'F:\Users\norela.briceno\Documents\Plan de acción\Plan Accion 2018\[Plan Accion Integrado ADRES Vigencia 2018 con Cuadro de Mando V6..xlsx]Plan de Accion 2018'!#REF!,J281&lt;&gt;"N/A"))</xm:f>
            <x14:dxf>
              <fill>
                <patternFill>
                  <bgColor indexed="10"/>
                </patternFill>
              </fill>
            </x14:dxf>
          </x14:cfRule>
          <xm:sqref>AE281 X281 Q281 J281</xm:sqref>
        </x14:conditionalFormatting>
        <x14:conditionalFormatting xmlns:xm="http://schemas.microsoft.com/office/excel/2006/main">
          <x14:cfRule type="expression" priority="599" id="{10806B3D-A517-4572-A4D3-DFBB682C886D}">
            <xm:f>AND(IF(X222&gt;'F:\Users\norela.briceno\Documents\Plan de acción\Plan Accion 2018\[Plan Accion Integrado ADRES Vigencia 2018 con Cuadro de Mando V6..xlsx]Plan de Accion 2018'!#REF!,X222&lt;&gt;¨N/A¨))</xm:f>
            <x14:dxf>
              <fill>
                <patternFill>
                  <bgColor theme="1" tint="0.499984740745262"/>
                </patternFill>
              </fill>
            </x14:dxf>
          </x14:cfRule>
          <x14:cfRule type="expression" priority="600" stopIfTrue="1" id="{53E856AC-6971-48C0-9D78-E2798053EB51}">
            <xm:f>AND(IF(X222='F:\Users\norela.briceno\Documents\Plan de acción\Plan Accion 2018\[Plan Accion Integrado ADRES Vigencia 2018 con Cuadro de Mando V6..xlsx]Plan de Accion 2018'!#REF!,X222&lt;&gt;"N/A"))</xm:f>
            <x14:dxf>
              <fill>
                <patternFill>
                  <bgColor rgb="FF00B050"/>
                </patternFill>
              </fill>
            </x14:dxf>
          </x14:cfRule>
          <x14:cfRule type="expression" priority="601" stopIfTrue="1" id="{B132E29B-8A8F-43DC-8303-7D1D0692283E}">
            <xm:f>AND(IF(X222&lt;'F:\Users\norela.briceno\Documents\Plan de acción\Plan Accion 2018\[Plan Accion Integrado ADRES Vigencia 2018 con Cuadro de Mando V6..xlsx]Plan de Accion 2018'!#REF!,X222&lt;&gt;"N/A"))</xm:f>
            <x14:dxf>
              <fill>
                <patternFill>
                  <bgColor indexed="10"/>
                </patternFill>
              </fill>
            </x14:dxf>
          </x14:cfRule>
          <xm:sqref>X222</xm:sqref>
        </x14:conditionalFormatting>
        <x14:conditionalFormatting xmlns:xm="http://schemas.microsoft.com/office/excel/2006/main">
          <x14:cfRule type="expression" priority="596" id="{C13C26B5-10FB-4AF3-B88A-3153729D7656}">
            <xm:f>AND(IF(AE222&gt;'F:\Users\norela.briceno\Documents\Plan de acción\Plan Accion 2018\[Plan Accion Integrado ADRES Vigencia 2018 con Cuadro de Mando V6..xlsx]Plan de Accion 2018'!#REF!,AE222&lt;&gt;¨N/A¨))</xm:f>
            <x14:dxf>
              <fill>
                <patternFill>
                  <bgColor theme="1" tint="0.499984740745262"/>
                </patternFill>
              </fill>
            </x14:dxf>
          </x14:cfRule>
          <x14:cfRule type="expression" priority="597" stopIfTrue="1" id="{6B97EC98-1A84-4354-91A1-0CFF0823A93E}">
            <xm:f>AND(IF(AE222='F:\Users\norela.briceno\Documents\Plan de acción\Plan Accion 2018\[Plan Accion Integrado ADRES Vigencia 2018 con Cuadro de Mando V6..xlsx]Plan de Accion 2018'!#REF!,AE222&lt;&gt;"N/A"))</xm:f>
            <x14:dxf>
              <fill>
                <patternFill>
                  <bgColor rgb="FF00B050"/>
                </patternFill>
              </fill>
            </x14:dxf>
          </x14:cfRule>
          <x14:cfRule type="expression" priority="598" stopIfTrue="1" id="{6C5E78D5-F10F-4581-BAF5-DD2952D88DC9}">
            <xm:f>AND(IF(AE222&lt;'F:\Users\norela.briceno\Documents\Plan de acción\Plan Accion 2018\[Plan Accion Integrado ADRES Vigencia 2018 con Cuadro de Mando V6..xlsx]Plan de Accion 2018'!#REF!,AE222&lt;&gt;"N/A"))</xm:f>
            <x14:dxf>
              <fill>
                <patternFill>
                  <bgColor indexed="10"/>
                </patternFill>
              </fill>
            </x14:dxf>
          </x14:cfRule>
          <xm:sqref>AE222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0"/>
  <sheetViews>
    <sheetView showGridLines="0" workbookViewId="0">
      <selection activeCell="L17" sqref="L17"/>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customWidth="1"/>
    <col min="17" max="17" width="11.7109375" customWidth="1"/>
    <col min="18" max="22" width="3.28515625" customWidth="1"/>
    <col min="23" max="23" width="11.7109375" customWidth="1"/>
    <col min="24" max="28" width="3.28515625" customWidth="1"/>
    <col min="29" max="29" width="29.5703125" customWidth="1"/>
    <col min="30" max="30" width="3.140625" customWidth="1"/>
    <col min="31" max="31" width="11.7109375" hidden="1" customWidth="1"/>
    <col min="32" max="36" width="3.28515625" hidden="1" customWidth="1"/>
    <col min="37" max="37" width="11.7109375" hidden="1" customWidth="1"/>
    <col min="38" max="42" width="3.28515625" hidden="1" customWidth="1"/>
    <col min="43" max="43" width="28.5703125" hidden="1" customWidth="1"/>
    <col min="44" max="44" width="3.140625" hidden="1" customWidth="1"/>
    <col min="45" max="45" width="11.7109375" hidden="1" customWidth="1"/>
    <col min="46" max="50" width="3.28515625" hidden="1" customWidth="1"/>
    <col min="51" max="51" width="12.140625" hidden="1" customWidth="1"/>
    <col min="52" max="56" width="3.28515625" hidden="1" customWidth="1"/>
    <col min="57" max="57" width="28.5703125" hidden="1" customWidth="1"/>
  </cols>
  <sheetData>
    <row r="1" spans="1:60" ht="15" customHeight="1" x14ac:dyDescent="0.25">
      <c r="A1" s="1359"/>
      <c r="B1" s="1362" t="s">
        <v>246</v>
      </c>
      <c r="C1" s="1363"/>
      <c r="D1" s="1363"/>
      <c r="E1" s="1363"/>
      <c r="F1" s="1363"/>
      <c r="G1" s="1363"/>
      <c r="H1" s="1310"/>
      <c r="I1" s="1311" t="s">
        <v>247</v>
      </c>
      <c r="J1" s="1311"/>
      <c r="K1" s="1311"/>
      <c r="L1" s="1311"/>
      <c r="M1" s="1311"/>
      <c r="N1" s="1311"/>
      <c r="O1" s="1311"/>
      <c r="P1" s="1311"/>
      <c r="Q1" s="1311"/>
      <c r="R1" s="1311"/>
      <c r="S1" s="1311"/>
      <c r="T1" s="1311"/>
      <c r="U1" s="1311"/>
      <c r="V1" s="1311"/>
      <c r="W1" s="1311"/>
      <c r="X1" s="1311"/>
      <c r="Y1" s="1311"/>
      <c r="Z1" s="1311"/>
      <c r="AA1" s="1311"/>
      <c r="AB1" s="1311"/>
      <c r="AC1" s="1311"/>
      <c r="AD1" s="1311"/>
      <c r="AE1" s="1311"/>
      <c r="AF1" s="1311"/>
      <c r="AG1" s="1311"/>
      <c r="AH1" s="1311"/>
      <c r="AI1" s="1311"/>
      <c r="AJ1" s="1311"/>
      <c r="AK1" s="1311"/>
      <c r="AL1" s="1312"/>
      <c r="AM1" s="1312"/>
      <c r="AN1" s="1312"/>
      <c r="AO1" s="1312"/>
      <c r="AP1" s="1312"/>
      <c r="AQ1" s="1312"/>
      <c r="AR1" s="1312"/>
      <c r="AS1" s="1364"/>
      <c r="AT1" s="1365"/>
      <c r="AU1" s="1365"/>
      <c r="AV1" s="1365"/>
      <c r="AW1" s="1365"/>
      <c r="AX1" s="1365"/>
      <c r="AY1" s="1365"/>
      <c r="AZ1" s="1365"/>
      <c r="BA1" s="1365"/>
      <c r="BB1" s="1365"/>
      <c r="BC1" s="1365"/>
      <c r="BD1" s="1366"/>
      <c r="BE1" s="19"/>
      <c r="BF1" s="19"/>
      <c r="BG1" s="19"/>
      <c r="BH1" s="19"/>
    </row>
    <row r="2" spans="1:60" ht="15" customHeight="1" x14ac:dyDescent="0.25">
      <c r="A2" s="1360"/>
      <c r="B2" s="1373" t="s">
        <v>248</v>
      </c>
      <c r="C2" s="1374"/>
      <c r="D2" s="1374"/>
      <c r="E2" s="1374"/>
      <c r="F2" s="1374"/>
      <c r="G2" s="1374"/>
      <c r="H2" s="1315"/>
      <c r="I2" s="1316" t="s">
        <v>209</v>
      </c>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7"/>
      <c r="AM2" s="1317"/>
      <c r="AN2" s="1317"/>
      <c r="AO2" s="1317"/>
      <c r="AP2" s="1317"/>
      <c r="AQ2" s="1317"/>
      <c r="AR2" s="1317"/>
      <c r="AS2" s="1367"/>
      <c r="AT2" s="1368"/>
      <c r="AU2" s="1368"/>
      <c r="AV2" s="1368"/>
      <c r="AW2" s="1368"/>
      <c r="AX2" s="1368"/>
      <c r="AY2" s="1368"/>
      <c r="AZ2" s="1368"/>
      <c r="BA2" s="1368"/>
      <c r="BB2" s="1368"/>
      <c r="BC2" s="1368"/>
      <c r="BD2" s="1369"/>
      <c r="BE2" s="19"/>
      <c r="BF2" s="19"/>
      <c r="BG2" s="19"/>
      <c r="BH2" s="19"/>
    </row>
    <row r="3" spans="1:60" ht="15.75" customHeight="1" thickBot="1" x14ac:dyDescent="0.3">
      <c r="A3" s="1361"/>
      <c r="B3" s="1375" t="s">
        <v>242</v>
      </c>
      <c r="C3" s="1325"/>
      <c r="D3" s="1325"/>
      <c r="E3" s="1325"/>
      <c r="F3" s="1325"/>
      <c r="G3" s="1325"/>
      <c r="H3" s="1320"/>
      <c r="I3" s="1322" t="s">
        <v>251</v>
      </c>
      <c r="J3" s="1325"/>
      <c r="K3" s="1325"/>
      <c r="L3" s="1325"/>
      <c r="M3" s="1325"/>
      <c r="N3" s="1320"/>
      <c r="O3" s="341"/>
      <c r="P3" s="1376" t="s">
        <v>224</v>
      </c>
      <c r="Q3" s="1377"/>
      <c r="R3" s="1377"/>
      <c r="S3" s="1377"/>
      <c r="T3" s="1377"/>
      <c r="U3" s="1377"/>
      <c r="V3" s="1377"/>
      <c r="W3" s="1377"/>
      <c r="X3" s="1377"/>
      <c r="Y3" s="1377"/>
      <c r="Z3" s="1377"/>
      <c r="AA3" s="1377"/>
      <c r="AB3" s="1377"/>
      <c r="AC3" s="1377"/>
      <c r="AD3" s="1377"/>
      <c r="AE3" s="1377"/>
      <c r="AF3" s="1377"/>
      <c r="AG3" s="1377"/>
      <c r="AH3" s="1377"/>
      <c r="AI3" s="1377"/>
      <c r="AJ3" s="1378"/>
      <c r="AK3" s="340" t="s">
        <v>249</v>
      </c>
      <c r="AL3" s="1322">
        <v>1</v>
      </c>
      <c r="AM3" s="1325"/>
      <c r="AN3" s="1325"/>
      <c r="AO3" s="1325"/>
      <c r="AP3" s="1325"/>
      <c r="AQ3" s="1325"/>
      <c r="AR3" s="1325"/>
      <c r="AS3" s="1370"/>
      <c r="AT3" s="1371"/>
      <c r="AU3" s="1371"/>
      <c r="AV3" s="1371"/>
      <c r="AW3" s="1371"/>
      <c r="AX3" s="1371"/>
      <c r="AY3" s="1371"/>
      <c r="AZ3" s="1371"/>
      <c r="BA3" s="1371"/>
      <c r="BB3" s="1371"/>
      <c r="BC3" s="1371"/>
      <c r="BD3" s="1372"/>
      <c r="BE3" s="19"/>
      <c r="BF3" s="19"/>
      <c r="BG3" s="19"/>
      <c r="BH3" s="19"/>
    </row>
    <row r="4" spans="1:60" ht="15.75" thickBot="1" x14ac:dyDescent="0.3"/>
    <row r="5" spans="1:60" ht="55.5" customHeight="1" thickBot="1" x14ac:dyDescent="0.3">
      <c r="A5" s="371" t="s">
        <v>203</v>
      </c>
      <c r="B5" s="372"/>
      <c r="C5" s="1384" t="s">
        <v>1200</v>
      </c>
      <c r="D5" s="1385"/>
      <c r="E5" s="1385"/>
      <c r="F5" s="1385"/>
      <c r="G5" s="1385"/>
      <c r="H5" s="1386"/>
      <c r="I5" s="1387" t="s">
        <v>1201</v>
      </c>
      <c r="J5" s="1383"/>
      <c r="K5" s="1383"/>
      <c r="L5" s="1383"/>
      <c r="M5" s="1383"/>
      <c r="N5" s="1383"/>
      <c r="O5" s="373" t="s">
        <v>1430</v>
      </c>
      <c r="P5" s="12"/>
      <c r="Q5" s="1384" t="s">
        <v>1203</v>
      </c>
      <c r="R5" s="1385"/>
      <c r="S5" s="1385"/>
      <c r="T5" s="1385"/>
      <c r="U5" s="1385"/>
      <c r="V5" s="1386"/>
      <c r="W5" s="1384" t="s">
        <v>1204</v>
      </c>
      <c r="X5" s="1385"/>
      <c r="Y5" s="1385"/>
      <c r="Z5" s="1385"/>
      <c r="AA5" s="1385"/>
      <c r="AB5" s="1386"/>
      <c r="AC5" s="373" t="s">
        <v>1202</v>
      </c>
      <c r="AD5" s="374"/>
      <c r="AE5" s="1384" t="s">
        <v>1205</v>
      </c>
      <c r="AF5" s="1385"/>
      <c r="AG5" s="1385"/>
      <c r="AH5" s="1385"/>
      <c r="AI5" s="1385"/>
      <c r="AJ5" s="1386"/>
      <c r="AK5" s="1387" t="s">
        <v>1206</v>
      </c>
      <c r="AL5" s="1383"/>
      <c r="AM5" s="1383"/>
      <c r="AN5" s="1383"/>
      <c r="AO5" s="1383"/>
      <c r="AP5" s="1383"/>
      <c r="AQ5" s="373" t="s">
        <v>1202</v>
      </c>
      <c r="AR5" s="374"/>
      <c r="AS5" s="1379" t="s">
        <v>1207</v>
      </c>
      <c r="AT5" s="1380"/>
      <c r="AU5" s="1380"/>
      <c r="AV5" s="1380"/>
      <c r="AW5" s="1380"/>
      <c r="AX5" s="1381"/>
      <c r="AY5" s="1382" t="s">
        <v>1208</v>
      </c>
      <c r="AZ5" s="1383"/>
      <c r="BA5" s="1383"/>
      <c r="BB5" s="1383"/>
      <c r="BC5" s="1383"/>
      <c r="BD5" s="1383"/>
      <c r="BE5" s="373" t="s">
        <v>1202</v>
      </c>
    </row>
    <row r="6" spans="1:60" ht="18" x14ac:dyDescent="0.25">
      <c r="A6" s="375" t="s">
        <v>225</v>
      </c>
      <c r="B6" s="372"/>
      <c r="C6" s="376">
        <f>+'Cuadro Mando Integral Detallado'!L130</f>
        <v>0.48383104213218625</v>
      </c>
      <c r="D6" s="377">
        <f>+C6</f>
        <v>0.48383104213218625</v>
      </c>
      <c r="E6" s="378">
        <f>+C6</f>
        <v>0.48383104213218625</v>
      </c>
      <c r="F6" s="378">
        <f>+C6</f>
        <v>0.48383104213218625</v>
      </c>
      <c r="G6" s="532">
        <f>+C6</f>
        <v>0.48383104213218625</v>
      </c>
      <c r="H6" s="379">
        <f>+C6</f>
        <v>0.48383104213218625</v>
      </c>
      <c r="I6" s="380">
        <f>+'Cuadro Mando Integral Detallado'!O130</f>
        <v>0.11734270705882274</v>
      </c>
      <c r="J6" s="526">
        <f>+I6</f>
        <v>0.11734270705882274</v>
      </c>
      <c r="K6" s="527">
        <f>+I6</f>
        <v>0.11734270705882274</v>
      </c>
      <c r="L6" s="527">
        <f>+I6</f>
        <v>0.11734270705882274</v>
      </c>
      <c r="M6" s="527">
        <f>+I6</f>
        <v>0.11734270705882274</v>
      </c>
      <c r="N6" s="528">
        <f>+I6</f>
        <v>0.11734270705882274</v>
      </c>
      <c r="O6" s="570">
        <f>1/109</f>
        <v>9.1743119266055051E-3</v>
      </c>
      <c r="P6" s="14"/>
      <c r="Q6" s="376">
        <f>+'Cuadro Mando Integral Detallado'!S130</f>
        <v>0.70549550968549402</v>
      </c>
      <c r="R6" s="378">
        <f>+Q6</f>
        <v>0.70549550968549402</v>
      </c>
      <c r="S6" s="378">
        <f>+Q6</f>
        <v>0.70549550968549402</v>
      </c>
      <c r="T6" s="378">
        <f>+Q6</f>
        <v>0.70549550968549402</v>
      </c>
      <c r="U6" s="378">
        <f>+Q6</f>
        <v>0.70549550968549402</v>
      </c>
      <c r="V6" s="379">
        <f>+Q6</f>
        <v>0.70549550968549402</v>
      </c>
      <c r="W6" s="385">
        <f>+'Cuadro Mando Integral Detallado'!V130</f>
        <v>0.26979969154809386</v>
      </c>
      <c r="X6" s="381">
        <f>+W6</f>
        <v>0.26979969154809386</v>
      </c>
      <c r="Y6" s="382">
        <f>+W6</f>
        <v>0.26979969154809386</v>
      </c>
      <c r="Z6" s="382">
        <f>+W6</f>
        <v>0.26979969154809386</v>
      </c>
      <c r="AA6" s="382">
        <f>+W6</f>
        <v>0.26979969154809386</v>
      </c>
      <c r="AB6" s="386">
        <f>+W6</f>
        <v>0.26979969154809386</v>
      </c>
      <c r="AC6" s="384">
        <f>4/115</f>
        <v>3.4782608695652174E-2</v>
      </c>
      <c r="AD6" s="387"/>
      <c r="AE6" s="376">
        <f>+'Cuadro Mando Integral Detallado'!Z130</f>
        <v>0</v>
      </c>
      <c r="AF6" s="377">
        <f>+AE6</f>
        <v>0</v>
      </c>
      <c r="AG6" s="378">
        <f>+AE6</f>
        <v>0</v>
      </c>
      <c r="AH6" s="378">
        <f>+AE6</f>
        <v>0</v>
      </c>
      <c r="AI6" s="378">
        <f>+AE6</f>
        <v>0</v>
      </c>
      <c r="AJ6" s="379">
        <f>+AE6</f>
        <v>0</v>
      </c>
      <c r="AK6" s="376">
        <f>+'Cuadro Mando Integral Detallado'!AC130</f>
        <v>0.2050171044458142</v>
      </c>
      <c r="AL6" s="388">
        <f>+AK6</f>
        <v>0.2050171044458142</v>
      </c>
      <c r="AM6" s="382">
        <f>+AK6</f>
        <v>0.2050171044458142</v>
      </c>
      <c r="AN6" s="382">
        <f>+AK6</f>
        <v>0.2050171044458142</v>
      </c>
      <c r="AO6" s="382">
        <f>+AK6</f>
        <v>0.2050171044458142</v>
      </c>
      <c r="AP6" s="383">
        <f>+AK6</f>
        <v>0.2050171044458142</v>
      </c>
      <c r="AQ6" s="389"/>
      <c r="AR6" s="387"/>
      <c r="AS6" s="376">
        <f>+'Cuadro Mando Integral Detallado'!AG130</f>
        <v>0</v>
      </c>
      <c r="AT6" s="377">
        <f>+AS6</f>
        <v>0</v>
      </c>
      <c r="AU6" s="378">
        <f>+AS6</f>
        <v>0</v>
      </c>
      <c r="AV6" s="378">
        <f>+AS6</f>
        <v>0</v>
      </c>
      <c r="AW6" s="378">
        <f>+AS6</f>
        <v>0</v>
      </c>
      <c r="AX6" s="379">
        <f>+AS6</f>
        <v>0</v>
      </c>
      <c r="AY6" s="385">
        <f>+'Cuadro Mando Integral Detallado'!AI130</f>
        <v>0.22394728436665898</v>
      </c>
      <c r="AZ6" s="388">
        <f>+AY6</f>
        <v>0.22394728436665898</v>
      </c>
      <c r="BA6" s="382">
        <f>+AY6</f>
        <v>0.22394728436665898</v>
      </c>
      <c r="BB6" s="382">
        <f>+AY6</f>
        <v>0.22394728436665898</v>
      </c>
      <c r="BC6" s="382">
        <f>+AY6</f>
        <v>0.22394728436665898</v>
      </c>
      <c r="BD6" s="383">
        <f>+AY6</f>
        <v>0.22394728436665898</v>
      </c>
      <c r="BE6" s="384"/>
    </row>
    <row r="7" spans="1:60" ht="18" x14ac:dyDescent="0.25">
      <c r="A7" s="390" t="s">
        <v>226</v>
      </c>
      <c r="B7" s="372"/>
      <c r="C7" s="391">
        <f>+'Cuadro Mando Integral Detallado'!L203</f>
        <v>0.92512577569127219</v>
      </c>
      <c r="D7" s="392">
        <f>+C7</f>
        <v>0.92512577569127219</v>
      </c>
      <c r="E7" s="393">
        <f>+C7</f>
        <v>0.92512577569127219</v>
      </c>
      <c r="F7" s="393">
        <f>+C7</f>
        <v>0.92512577569127219</v>
      </c>
      <c r="G7" s="393">
        <f>+C7</f>
        <v>0.92512577569127219</v>
      </c>
      <c r="H7" s="394">
        <f>+C7</f>
        <v>0.92512577569127219</v>
      </c>
      <c r="I7" s="395">
        <f>+'Cuadro Mando Integral Detallado'!O203</f>
        <v>0.34173562233484528</v>
      </c>
      <c r="J7" s="396">
        <f>+I7</f>
        <v>0.34173562233484528</v>
      </c>
      <c r="K7" s="397">
        <f>+I7</f>
        <v>0.34173562233484528</v>
      </c>
      <c r="L7" s="397">
        <f>+I7</f>
        <v>0.34173562233484528</v>
      </c>
      <c r="M7" s="397">
        <f>+I7</f>
        <v>0.34173562233484528</v>
      </c>
      <c r="N7" s="398">
        <f>+I7</f>
        <v>0.34173562233484528</v>
      </c>
      <c r="O7" s="571">
        <v>1.6129032258064516E-2</v>
      </c>
      <c r="P7" s="15"/>
      <c r="Q7" s="391">
        <f>+'Cuadro Mando Integral Detallado'!S203</f>
        <v>0.9895068481563406</v>
      </c>
      <c r="R7" s="393">
        <f>+Q7</f>
        <v>0.9895068481563406</v>
      </c>
      <c r="S7" s="393">
        <f>+Q7</f>
        <v>0.9895068481563406</v>
      </c>
      <c r="T7" s="393">
        <f>+Q7</f>
        <v>0.9895068481563406</v>
      </c>
      <c r="U7" s="393">
        <f>+Q7</f>
        <v>0.9895068481563406</v>
      </c>
      <c r="V7" s="394">
        <f>+Q7</f>
        <v>0.9895068481563406</v>
      </c>
      <c r="W7" s="400">
        <f>+'Cuadro Mando Integral Detallado'!V203</f>
        <v>0.48476998776961039</v>
      </c>
      <c r="X7" s="396">
        <f>+W7</f>
        <v>0.48476998776961039</v>
      </c>
      <c r="Y7" s="397">
        <f>+W7</f>
        <v>0.48476998776961039</v>
      </c>
      <c r="Z7" s="397">
        <f>+W7</f>
        <v>0.48476998776961039</v>
      </c>
      <c r="AA7" s="397">
        <f>+W7</f>
        <v>0.48476998776961039</v>
      </c>
      <c r="AB7" s="401">
        <f>+W7</f>
        <v>0.48476998776961039</v>
      </c>
      <c r="AC7" s="399">
        <f>1/73</f>
        <v>1.3698630136986301E-2</v>
      </c>
      <c r="AD7" s="387"/>
      <c r="AE7" s="391">
        <f>+'Cuadro Mando Integral Detallado'!Z203</f>
        <v>0</v>
      </c>
      <c r="AF7" s="392">
        <f>+AE7</f>
        <v>0</v>
      </c>
      <c r="AG7" s="393">
        <f>+AE7</f>
        <v>0</v>
      </c>
      <c r="AH7" s="393">
        <f>+AE7</f>
        <v>0</v>
      </c>
      <c r="AI7" s="393">
        <f>+AE7</f>
        <v>0</v>
      </c>
      <c r="AJ7" s="394">
        <f>+AE7</f>
        <v>0</v>
      </c>
      <c r="AK7" s="391">
        <f>+'Cuadro Mando Integral Detallado'!AC203</f>
        <v>0.39286387869689759</v>
      </c>
      <c r="AL7" s="402">
        <f>+AK7</f>
        <v>0.39286387869689759</v>
      </c>
      <c r="AM7" s="397">
        <f>+AK7</f>
        <v>0.39286387869689759</v>
      </c>
      <c r="AN7" s="397">
        <f>+AK7</f>
        <v>0.39286387869689759</v>
      </c>
      <c r="AO7" s="397">
        <f>+AK7</f>
        <v>0.39286387869689759</v>
      </c>
      <c r="AP7" s="398">
        <f>+AK7</f>
        <v>0.39286387869689759</v>
      </c>
      <c r="AQ7" s="403"/>
      <c r="AR7" s="387"/>
      <c r="AS7" s="391">
        <f>+'Cuadro Mando Integral Detallado'!AA203</f>
        <v>0.49591442682621995</v>
      </c>
      <c r="AT7" s="392">
        <f>+AS7</f>
        <v>0.49591442682621995</v>
      </c>
      <c r="AU7" s="393">
        <f>+AS7</f>
        <v>0.49591442682621995</v>
      </c>
      <c r="AV7" s="393">
        <f>+AS7</f>
        <v>0.49591442682621995</v>
      </c>
      <c r="AW7" s="393">
        <f>+AS7</f>
        <v>0.49591442682621995</v>
      </c>
      <c r="AX7" s="394">
        <f>+AS7</f>
        <v>0.49591442682621995</v>
      </c>
      <c r="AY7" s="400">
        <f>+'Cuadro Mando Integral Detallado'!AI203</f>
        <v>0.38026810707942782</v>
      </c>
      <c r="AZ7" s="402">
        <f>+AY7</f>
        <v>0.38026810707942782</v>
      </c>
      <c r="BA7" s="397">
        <f>+AY7</f>
        <v>0.38026810707942782</v>
      </c>
      <c r="BB7" s="397">
        <f>+AY7</f>
        <v>0.38026810707942782</v>
      </c>
      <c r="BC7" s="397">
        <f>+AY7</f>
        <v>0.38026810707942782</v>
      </c>
      <c r="BD7" s="398">
        <f>+AY7</f>
        <v>0.38026810707942782</v>
      </c>
      <c r="BE7" s="399"/>
    </row>
    <row r="8" spans="1:60" ht="18" x14ac:dyDescent="0.25">
      <c r="A8" s="390" t="s">
        <v>227</v>
      </c>
      <c r="B8" s="372"/>
      <c r="C8" s="391">
        <f>+'Cuadro Mando Integral Detallado'!L304</f>
        <v>0.74762285323360256</v>
      </c>
      <c r="D8" s="392">
        <f>+C8</f>
        <v>0.74762285323360256</v>
      </c>
      <c r="E8" s="393">
        <f>+C8</f>
        <v>0.74762285323360256</v>
      </c>
      <c r="F8" s="393">
        <f>+C8</f>
        <v>0.74762285323360256</v>
      </c>
      <c r="G8" s="393">
        <f>+C8</f>
        <v>0.74762285323360256</v>
      </c>
      <c r="H8" s="394">
        <f>+C8</f>
        <v>0.74762285323360256</v>
      </c>
      <c r="I8" s="395">
        <f>+'Cuadro Mando Integral Detallado'!O304</f>
        <v>0.31319552583296795</v>
      </c>
      <c r="J8" s="529">
        <f>+I8</f>
        <v>0.31319552583296795</v>
      </c>
      <c r="K8" s="530">
        <f>+I8</f>
        <v>0.31319552583296795</v>
      </c>
      <c r="L8" s="530">
        <f>+I8</f>
        <v>0.31319552583296795</v>
      </c>
      <c r="M8" s="530">
        <f>+I8</f>
        <v>0.31319552583296795</v>
      </c>
      <c r="N8" s="531">
        <f>+I8</f>
        <v>0.31319552583296795</v>
      </c>
      <c r="O8" s="571">
        <v>0</v>
      </c>
      <c r="P8" s="15"/>
      <c r="Q8" s="391">
        <f>+'Cuadro Mando Integral Detallado'!S304</f>
        <v>0.96425965141583114</v>
      </c>
      <c r="R8" s="393">
        <f>+Q8</f>
        <v>0.96425965141583114</v>
      </c>
      <c r="S8" s="393">
        <f>+Q8</f>
        <v>0.96425965141583114</v>
      </c>
      <c r="T8" s="393">
        <f>+Q8</f>
        <v>0.96425965141583114</v>
      </c>
      <c r="U8" s="393">
        <f>+Q8</f>
        <v>0.96425965141583114</v>
      </c>
      <c r="V8" s="394">
        <f>+Q8</f>
        <v>0.96425965141583114</v>
      </c>
      <c r="W8" s="400">
        <f>+'Cuadro Mando Integral Detallado'!V304</f>
        <v>0.45484718621341386</v>
      </c>
      <c r="X8" s="396">
        <f>+W8</f>
        <v>0.45484718621341386</v>
      </c>
      <c r="Y8" s="397">
        <f>+W8</f>
        <v>0.45484718621341386</v>
      </c>
      <c r="Z8" s="397">
        <f>+W8</f>
        <v>0.45484718621341386</v>
      </c>
      <c r="AA8" s="397">
        <f>+W8</f>
        <v>0.45484718621341386</v>
      </c>
      <c r="AB8" s="401">
        <f>+W8</f>
        <v>0.45484718621341386</v>
      </c>
      <c r="AC8" s="399">
        <f>3/100</f>
        <v>0.03</v>
      </c>
      <c r="AD8" s="387"/>
      <c r="AE8" s="391">
        <f>+'Cuadro Mando Integral Detallado'!Z304</f>
        <v>0</v>
      </c>
      <c r="AF8" s="392">
        <f>+AE8</f>
        <v>0</v>
      </c>
      <c r="AG8" s="393">
        <f>+AE8</f>
        <v>0</v>
      </c>
      <c r="AH8" s="393">
        <f>+AE8</f>
        <v>0</v>
      </c>
      <c r="AI8" s="393">
        <f>+AE8</f>
        <v>0</v>
      </c>
      <c r="AJ8" s="394">
        <f>+AE8</f>
        <v>0</v>
      </c>
      <c r="AK8" s="391" t="e">
        <f>+'Cuadro Mando Integral Detallado'!AC304</f>
        <v>#VALUE!</v>
      </c>
      <c r="AL8" s="402" t="e">
        <f>+AK8</f>
        <v>#VALUE!</v>
      </c>
      <c r="AM8" s="397" t="e">
        <f>+AK8</f>
        <v>#VALUE!</v>
      </c>
      <c r="AN8" s="397" t="e">
        <f>+AK8</f>
        <v>#VALUE!</v>
      </c>
      <c r="AO8" s="397" t="e">
        <f>+AK8</f>
        <v>#VALUE!</v>
      </c>
      <c r="AP8" s="398" t="e">
        <f>+AK8</f>
        <v>#VALUE!</v>
      </c>
      <c r="AQ8" s="403"/>
      <c r="AR8" s="387"/>
      <c r="AS8" s="391">
        <f>+'Cuadro Mando Integral Detallado'!AG304</f>
        <v>0</v>
      </c>
      <c r="AT8" s="392">
        <f>+AS8</f>
        <v>0</v>
      </c>
      <c r="AU8" s="393">
        <f>+AS8</f>
        <v>0</v>
      </c>
      <c r="AV8" s="393">
        <f>+AS8</f>
        <v>0</v>
      </c>
      <c r="AW8" s="393">
        <f>+AS8</f>
        <v>0</v>
      </c>
      <c r="AX8" s="394">
        <f>+AS8</f>
        <v>0</v>
      </c>
      <c r="AY8" s="400" t="e">
        <f>+'Cuadro Mando Integral Detallado'!AI304</f>
        <v>#VALUE!</v>
      </c>
      <c r="AZ8" s="402" t="e">
        <f>+AY8</f>
        <v>#VALUE!</v>
      </c>
      <c r="BA8" s="397" t="e">
        <f>+AY8</f>
        <v>#VALUE!</v>
      </c>
      <c r="BB8" s="397" t="e">
        <f>+AY8</f>
        <v>#VALUE!</v>
      </c>
      <c r="BC8" s="397" t="e">
        <f>+AY8</f>
        <v>#VALUE!</v>
      </c>
      <c r="BD8" s="398" t="e">
        <f>+AY8</f>
        <v>#VALUE!</v>
      </c>
      <c r="BE8" s="399"/>
    </row>
    <row r="9" spans="1:60" ht="18.75" thickBot="1" x14ac:dyDescent="0.3">
      <c r="A9" s="404" t="s">
        <v>228</v>
      </c>
      <c r="B9" s="372"/>
      <c r="C9" s="405">
        <f>+'Cuadro Mando Integral Detallado'!L360</f>
        <v>0.875</v>
      </c>
      <c r="D9" s="406">
        <f>+C9</f>
        <v>0.875</v>
      </c>
      <c r="E9" s="407">
        <f>+C9</f>
        <v>0.875</v>
      </c>
      <c r="F9" s="407">
        <f>+C9</f>
        <v>0.875</v>
      </c>
      <c r="G9" s="407">
        <f>+C9</f>
        <v>0.875</v>
      </c>
      <c r="H9" s="408">
        <f>+C9</f>
        <v>0.875</v>
      </c>
      <c r="I9" s="409">
        <f>+'Cuadro Mando Integral Detallado'!O360</f>
        <v>0.38157894736842107</v>
      </c>
      <c r="J9" s="410">
        <f>+I9</f>
        <v>0.38157894736842107</v>
      </c>
      <c r="K9" s="411">
        <f>+I9</f>
        <v>0.38157894736842107</v>
      </c>
      <c r="L9" s="411">
        <f>+I9</f>
        <v>0.38157894736842107</v>
      </c>
      <c r="M9" s="411">
        <f>+I9</f>
        <v>0.38157894736842107</v>
      </c>
      <c r="N9" s="412">
        <f>+I9</f>
        <v>0.38157894736842107</v>
      </c>
      <c r="O9" s="573">
        <v>0</v>
      </c>
      <c r="P9" s="15"/>
      <c r="Q9" s="405">
        <f>+'Cuadro Mando Integral Detallado'!S360</f>
        <v>0.81818181818181823</v>
      </c>
      <c r="R9" s="407">
        <f>+Q9</f>
        <v>0.81818181818181823</v>
      </c>
      <c r="S9" s="407">
        <f>+Q9</f>
        <v>0.81818181818181823</v>
      </c>
      <c r="T9" s="407">
        <f>+Q9</f>
        <v>0.81818181818181823</v>
      </c>
      <c r="U9" s="407">
        <f>+Q9</f>
        <v>0.81818181818181823</v>
      </c>
      <c r="V9" s="408">
        <f>+Q9</f>
        <v>0.81818181818181823</v>
      </c>
      <c r="W9" s="414">
        <f>+'Cuadro Mando Integral Detallado'!V360</f>
        <v>0.43818295739348373</v>
      </c>
      <c r="X9" s="410">
        <f>+W9</f>
        <v>0.43818295739348373</v>
      </c>
      <c r="Y9" s="411">
        <f>+W9</f>
        <v>0.43818295739348373</v>
      </c>
      <c r="Z9" s="411">
        <f>+W9</f>
        <v>0.43818295739348373</v>
      </c>
      <c r="AA9" s="411">
        <f>+W9</f>
        <v>0.43818295739348373</v>
      </c>
      <c r="AB9" s="415">
        <f>+W9</f>
        <v>0.43818295739348373</v>
      </c>
      <c r="AC9" s="413">
        <v>0</v>
      </c>
      <c r="AD9" s="387"/>
      <c r="AE9" s="391">
        <f>+'Cuadro Mando Integral Detallado'!Z360</f>
        <v>0</v>
      </c>
      <c r="AF9" s="406">
        <f>+AE9</f>
        <v>0</v>
      </c>
      <c r="AG9" s="407">
        <f>+AE9</f>
        <v>0</v>
      </c>
      <c r="AH9" s="407">
        <f>+AE9</f>
        <v>0</v>
      </c>
      <c r="AI9" s="407">
        <f>+AE9</f>
        <v>0</v>
      </c>
      <c r="AJ9" s="408">
        <f>+AE9</f>
        <v>0</v>
      </c>
      <c r="AK9" s="405">
        <f>+'Cuadro Mando Integral Detallado'!AC360</f>
        <v>0.27884370015948962</v>
      </c>
      <c r="AL9" s="416">
        <f>+AK9</f>
        <v>0.27884370015948962</v>
      </c>
      <c r="AM9" s="411">
        <f>+AK9</f>
        <v>0.27884370015948962</v>
      </c>
      <c r="AN9" s="411">
        <f>+AK9</f>
        <v>0.27884370015948962</v>
      </c>
      <c r="AO9" s="411">
        <f>+AK9</f>
        <v>0.27884370015948962</v>
      </c>
      <c r="AP9" s="412">
        <f>+AK9</f>
        <v>0.27884370015948962</v>
      </c>
      <c r="AQ9" s="417"/>
      <c r="AR9" s="387"/>
      <c r="AS9" s="405">
        <f>+'Cuadro Mando Integral Detallado'!AG360</f>
        <v>0</v>
      </c>
      <c r="AT9" s="406">
        <f>+AS9</f>
        <v>0</v>
      </c>
      <c r="AU9" s="407">
        <f>+AS9</f>
        <v>0</v>
      </c>
      <c r="AV9" s="407">
        <f>+AS9</f>
        <v>0</v>
      </c>
      <c r="AW9" s="407">
        <f>+AS9</f>
        <v>0</v>
      </c>
      <c r="AX9" s="408">
        <f>+AS9</f>
        <v>0</v>
      </c>
      <c r="AY9" s="414">
        <f>+'Cuadro Mando Integral Detallado'!AI360</f>
        <v>0.22720597790773228</v>
      </c>
      <c r="AZ9" s="416">
        <f>+AY9</f>
        <v>0.22720597790773228</v>
      </c>
      <c r="BA9" s="411">
        <f>+AY9</f>
        <v>0.22720597790773228</v>
      </c>
      <c r="BB9" s="411">
        <f>+AY9</f>
        <v>0.22720597790773228</v>
      </c>
      <c r="BC9" s="411">
        <f>+AY9</f>
        <v>0.22720597790773228</v>
      </c>
      <c r="BD9" s="412">
        <f>+AY9</f>
        <v>0.22720597790773228</v>
      </c>
      <c r="BE9" s="413"/>
    </row>
    <row r="10" spans="1:60" ht="11.25" customHeight="1" thickBot="1" x14ac:dyDescent="0.3">
      <c r="A10" s="418"/>
      <c r="B10" s="372"/>
      <c r="O10" s="419"/>
      <c r="Q10" s="59"/>
      <c r="R10" s="59"/>
      <c r="S10" s="59"/>
      <c r="T10" s="59"/>
      <c r="U10" s="59"/>
      <c r="V10" s="59"/>
      <c r="W10" s="59"/>
      <c r="AC10" s="419"/>
      <c r="AD10" s="59"/>
      <c r="AE10" s="337"/>
      <c r="AF10" s="31"/>
      <c r="AG10" s="31"/>
      <c r="AH10" s="31"/>
      <c r="AI10" s="31"/>
      <c r="AJ10" s="31"/>
      <c r="AK10" s="337"/>
      <c r="AL10" s="420"/>
      <c r="AM10" s="420"/>
      <c r="AN10" s="420"/>
      <c r="AO10" s="420"/>
      <c r="AP10" s="420"/>
      <c r="AQ10" s="421"/>
      <c r="AR10" s="59"/>
      <c r="AS10" s="59"/>
      <c r="AY10" s="59"/>
      <c r="AZ10" s="336"/>
      <c r="BE10" s="420"/>
    </row>
    <row r="11" spans="1:60" ht="18.75" thickBot="1" x14ac:dyDescent="0.3">
      <c r="A11" s="422" t="s">
        <v>1209</v>
      </c>
      <c r="B11" s="374"/>
      <c r="C11" s="423">
        <f>+'Cuadro Mando Integral Detallado'!L361</f>
        <v>0.75789491776426521</v>
      </c>
      <c r="D11" s="434">
        <f>+C11</f>
        <v>0.75789491776426521</v>
      </c>
      <c r="E11" s="425">
        <f>+C11</f>
        <v>0.75789491776426521</v>
      </c>
      <c r="F11" s="425">
        <f>+C11</f>
        <v>0.75789491776426521</v>
      </c>
      <c r="G11" s="425">
        <f>+C11</f>
        <v>0.75789491776426521</v>
      </c>
      <c r="H11" s="426">
        <f>+C11</f>
        <v>0.75789491776426521</v>
      </c>
      <c r="I11" s="427">
        <f>+'Cuadro Mando Integral Detallado'!O361</f>
        <v>0.28846320064876424</v>
      </c>
      <c r="J11" s="428">
        <f>+I11</f>
        <v>0.28846320064876424</v>
      </c>
      <c r="K11" s="429">
        <f>+I11</f>
        <v>0.28846320064876424</v>
      </c>
      <c r="L11" s="429">
        <f>+I11</f>
        <v>0.28846320064876424</v>
      </c>
      <c r="M11" s="429">
        <f>+I11</f>
        <v>0.28846320064876424</v>
      </c>
      <c r="N11" s="430">
        <f>+I11</f>
        <v>0.28846320064876424</v>
      </c>
      <c r="O11" s="572">
        <f>2/(109+62+91+53)</f>
        <v>6.3492063492063492E-3</v>
      </c>
      <c r="P11" s="16"/>
      <c r="Q11" s="423">
        <f>+'Cuadro Mando Integral Detallado'!S361</f>
        <v>0.86936095685987103</v>
      </c>
      <c r="R11" s="424">
        <f>+Q11</f>
        <v>0.86936095685987103</v>
      </c>
      <c r="S11" s="425">
        <f>+Q11</f>
        <v>0.86936095685987103</v>
      </c>
      <c r="T11" s="425">
        <f>+Q11</f>
        <v>0.86936095685987103</v>
      </c>
      <c r="U11" s="425">
        <f>+Q11</f>
        <v>0.86936095685987103</v>
      </c>
      <c r="V11" s="426">
        <f>+Q11</f>
        <v>0.86936095685987103</v>
      </c>
      <c r="W11" s="431">
        <f>+'Cuadro Mando Integral Detallado'!V361</f>
        <v>0.41189995573115046</v>
      </c>
      <c r="X11" s="428">
        <f>+W11</f>
        <v>0.41189995573115046</v>
      </c>
      <c r="Y11" s="429">
        <f>+W11</f>
        <v>0.41189995573115046</v>
      </c>
      <c r="Z11" s="429">
        <f>+W11</f>
        <v>0.41189995573115046</v>
      </c>
      <c r="AA11" s="429">
        <f>+W11</f>
        <v>0.41189995573115046</v>
      </c>
      <c r="AB11" s="430">
        <f>+W11</f>
        <v>0.41189995573115046</v>
      </c>
      <c r="AC11" s="427">
        <f>8/(115+73+100+55)</f>
        <v>2.3323615160349854E-2</v>
      </c>
      <c r="AD11" s="432"/>
      <c r="AE11" s="423">
        <f>+'Cuadro Mando Integral Detallado'!Z361</f>
        <v>0</v>
      </c>
      <c r="AF11" s="424">
        <f>+AE11</f>
        <v>0</v>
      </c>
      <c r="AG11" s="425">
        <f>+AE11</f>
        <v>0</v>
      </c>
      <c r="AH11" s="425">
        <f>+AE11</f>
        <v>0</v>
      </c>
      <c r="AI11" s="425">
        <f>+AE11</f>
        <v>0</v>
      </c>
      <c r="AJ11" s="426">
        <f>+AE11</f>
        <v>0</v>
      </c>
      <c r="AK11" s="431" t="e">
        <f>+'Cuadro Mando Integral Detallado'!AC361</f>
        <v>#VALUE!</v>
      </c>
      <c r="AL11" s="434" t="e">
        <f>+AK11</f>
        <v>#VALUE!</v>
      </c>
      <c r="AM11" s="429" t="e">
        <f>+AK11</f>
        <v>#VALUE!</v>
      </c>
      <c r="AN11" s="429" t="e">
        <f>+AK11</f>
        <v>#VALUE!</v>
      </c>
      <c r="AO11" s="429" t="e">
        <f>+AK11</f>
        <v>#VALUE!</v>
      </c>
      <c r="AP11" s="430" t="e">
        <f>+AK11</f>
        <v>#VALUE!</v>
      </c>
      <c r="AQ11" s="435"/>
      <c r="AR11" s="432"/>
      <c r="AS11" s="423">
        <f>+'Cuadro Mando Integral Detallado'!AF361</f>
        <v>0</v>
      </c>
      <c r="AT11" s="424">
        <f>+AS11</f>
        <v>0</v>
      </c>
      <c r="AU11" s="425">
        <f>+AS11</f>
        <v>0</v>
      </c>
      <c r="AV11" s="425">
        <f>+AS11</f>
        <v>0</v>
      </c>
      <c r="AW11" s="425">
        <f>+AS11</f>
        <v>0</v>
      </c>
      <c r="AX11" s="426">
        <f>+AS11</f>
        <v>0</v>
      </c>
      <c r="AY11" s="431" t="e">
        <f>+'Cuadro Mando Integral Detallado'!AI361</f>
        <v>#VALUE!</v>
      </c>
      <c r="AZ11" s="434" t="e">
        <f>+AY11</f>
        <v>#VALUE!</v>
      </c>
      <c r="BA11" s="429" t="e">
        <f>+AY11</f>
        <v>#VALUE!</v>
      </c>
      <c r="BB11" s="429" t="e">
        <f>+AY11</f>
        <v>#VALUE!</v>
      </c>
      <c r="BC11" s="429" t="e">
        <f>+AY11</f>
        <v>#VALUE!</v>
      </c>
      <c r="BD11" s="430" t="e">
        <f>+AY11</f>
        <v>#VALUE!</v>
      </c>
      <c r="BE11" s="427"/>
    </row>
    <row r="12" spans="1:60" ht="8.25" customHeight="1" thickBot="1" x14ac:dyDescent="0.3">
      <c r="AC12" s="419"/>
    </row>
    <row r="13" spans="1:60" ht="18.75" thickBot="1" x14ac:dyDescent="0.3">
      <c r="A13" s="422" t="s">
        <v>1788</v>
      </c>
      <c r="C13" s="423">
        <f>+'Cuadro Mando Integral Detallado'!L363</f>
        <v>0.80930899356405339</v>
      </c>
      <c r="D13" s="424">
        <f>+C13</f>
        <v>0.80930899356405339</v>
      </c>
      <c r="E13" s="425">
        <f>+C13</f>
        <v>0.80930899356405339</v>
      </c>
      <c r="F13" s="425">
        <f>+C13</f>
        <v>0.80930899356405339</v>
      </c>
      <c r="G13" s="425">
        <f>+C13</f>
        <v>0.80930899356405339</v>
      </c>
      <c r="H13" s="426">
        <f>+C13</f>
        <v>0.80930899356405339</v>
      </c>
      <c r="I13" s="427">
        <f>+'Cuadro Mando Integral Detallado'!O363</f>
        <v>0.33130054136219605</v>
      </c>
      <c r="J13" s="428">
        <f>+I13</f>
        <v>0.33130054136219605</v>
      </c>
      <c r="K13" s="429">
        <f>+I13</f>
        <v>0.33130054136219605</v>
      </c>
      <c r="L13" s="429">
        <f>+I13</f>
        <v>0.33130054136219605</v>
      </c>
      <c r="M13" s="429">
        <f>+I13</f>
        <v>0.33130054136219605</v>
      </c>
      <c r="N13" s="430">
        <f>+I13</f>
        <v>0.33130054136219605</v>
      </c>
      <c r="O13" s="436"/>
      <c r="P13" s="16"/>
      <c r="Q13" s="423">
        <f>+'Cuadro Mando Integral Detallado'!S363</f>
        <v>0.90277162793759536</v>
      </c>
      <c r="R13" s="424">
        <f>+Q13</f>
        <v>0.90277162793759536</v>
      </c>
      <c r="S13" s="425">
        <f>+Q13</f>
        <v>0.90277162793759536</v>
      </c>
      <c r="T13" s="425">
        <f>+Q13</f>
        <v>0.90277162793759536</v>
      </c>
      <c r="U13" s="425">
        <f>+Q13</f>
        <v>0.90277162793759536</v>
      </c>
      <c r="V13" s="426">
        <f>+Q13</f>
        <v>0.90277162793759536</v>
      </c>
      <c r="W13" s="433">
        <f>+'Cuadro Mando Integral Detallado'!V363</f>
        <v>0.46479081514515247</v>
      </c>
      <c r="X13" s="428">
        <f>+W13</f>
        <v>0.46479081514515247</v>
      </c>
      <c r="Y13" s="429">
        <f>+W13</f>
        <v>0.46479081514515247</v>
      </c>
      <c r="Z13" s="429">
        <f>+W13</f>
        <v>0.46479081514515247</v>
      </c>
      <c r="AA13" s="429">
        <f>+W13</f>
        <v>0.46479081514515247</v>
      </c>
      <c r="AB13" s="430">
        <f>+W13</f>
        <v>0.46479081514515247</v>
      </c>
      <c r="AC13" s="437"/>
      <c r="AD13" s="432"/>
      <c r="AE13" s="423">
        <f>+'Cuadro Mando Integral Detallado'!Z363</f>
        <v>0</v>
      </c>
      <c r="AF13" s="424">
        <f>+AE13</f>
        <v>0</v>
      </c>
      <c r="AG13" s="425">
        <f>+AE13</f>
        <v>0</v>
      </c>
      <c r="AH13" s="425">
        <f>+AE13</f>
        <v>0</v>
      </c>
      <c r="AI13" s="425">
        <f>+AE13</f>
        <v>0</v>
      </c>
      <c r="AJ13" s="426">
        <f>+AE13</f>
        <v>0</v>
      </c>
      <c r="AK13" s="431" t="e">
        <f>+'Cuadro Mando Integral Detallado'!AC363</f>
        <v>#VALUE!</v>
      </c>
      <c r="AL13" s="416" t="e">
        <f>+AK13</f>
        <v>#VALUE!</v>
      </c>
      <c r="AM13" s="411" t="e">
        <f>+AK13</f>
        <v>#VALUE!</v>
      </c>
      <c r="AN13" s="411" t="e">
        <f>+AK13</f>
        <v>#VALUE!</v>
      </c>
      <c r="AO13" s="411" t="e">
        <f>+AK13</f>
        <v>#VALUE!</v>
      </c>
      <c r="AP13" s="412" t="e">
        <f>+AK13</f>
        <v>#VALUE!</v>
      </c>
      <c r="AQ13" s="436"/>
      <c r="AR13" s="432"/>
      <c r="AS13" s="423">
        <f>+'Cuadro Mando Integral Detallado'!AG363</f>
        <v>8.4033613445378148E-3</v>
      </c>
      <c r="AT13" s="424">
        <f>+AS13</f>
        <v>8.4033613445378148E-3</v>
      </c>
      <c r="AU13" s="425">
        <f>+AS13</f>
        <v>8.4033613445378148E-3</v>
      </c>
      <c r="AV13" s="425">
        <f>+AS13</f>
        <v>8.4033613445378148E-3</v>
      </c>
      <c r="AW13" s="425">
        <f>+AS13</f>
        <v>8.4033613445378148E-3</v>
      </c>
      <c r="AX13" s="426">
        <f>+AS13</f>
        <v>8.4033613445378148E-3</v>
      </c>
      <c r="AY13" s="431" t="e">
        <f>+'Cuadro Mando Integral Detallado'!AI363</f>
        <v>#VALUE!</v>
      </c>
      <c r="AZ13" s="434" t="e">
        <f>+AY13</f>
        <v>#VALUE!</v>
      </c>
      <c r="BA13" s="429" t="e">
        <f>+AY13</f>
        <v>#VALUE!</v>
      </c>
      <c r="BB13" s="429" t="e">
        <f>+AY13</f>
        <v>#VALUE!</v>
      </c>
      <c r="BC13" s="429" t="e">
        <f>+AY13</f>
        <v>#VALUE!</v>
      </c>
      <c r="BD13" s="430" t="e">
        <f>+AY13</f>
        <v>#VALUE!</v>
      </c>
    </row>
    <row r="14" spans="1:60" s="6" customFormat="1" x14ac:dyDescent="0.25">
      <c r="A14" s="274"/>
    </row>
    <row r="15" spans="1:60" s="6" customFormat="1" x14ac:dyDescent="0.25">
      <c r="A15" s="274"/>
    </row>
    <row r="16" spans="1:60" x14ac:dyDescent="0.25">
      <c r="W16" s="438"/>
      <c r="AK16" s="438"/>
      <c r="AL16" s="438"/>
      <c r="AM16" s="438"/>
      <c r="AN16" s="438"/>
      <c r="AO16" s="438"/>
      <c r="AP16" s="438"/>
      <c r="AQ16" s="438"/>
      <c r="AY16" s="438"/>
    </row>
    <row r="17" spans="23:51" x14ac:dyDescent="0.25">
      <c r="W17" s="438"/>
      <c r="AK17" s="438"/>
      <c r="AL17" s="438"/>
      <c r="AM17" s="438"/>
      <c r="AN17" s="438"/>
      <c r="AO17" s="438"/>
      <c r="AP17" s="438"/>
      <c r="AQ17" s="438"/>
      <c r="AY17" s="438"/>
    </row>
    <row r="18" spans="23:51" x14ac:dyDescent="0.25">
      <c r="W18" s="438"/>
      <c r="AK18" s="438"/>
      <c r="AL18" s="438"/>
      <c r="AM18" s="438"/>
      <c r="AN18" s="438"/>
      <c r="AO18" s="438"/>
      <c r="AP18" s="438"/>
      <c r="AQ18" s="438"/>
      <c r="AY18" s="438"/>
    </row>
    <row r="19" spans="23:51" x14ac:dyDescent="0.25">
      <c r="W19" s="438"/>
      <c r="AK19" s="438"/>
      <c r="AL19" s="438"/>
      <c r="AM19" s="438"/>
      <c r="AN19" s="438"/>
      <c r="AO19" s="438"/>
      <c r="AP19" s="438"/>
      <c r="AQ19" s="438"/>
      <c r="AY19" s="438"/>
    </row>
    <row r="20" spans="23:51" x14ac:dyDescent="0.25">
      <c r="W20" s="438"/>
    </row>
  </sheetData>
  <sheetProtection algorithmName="SHA-512" hashValue="IKEBo/BN6YTfzugDqAPta0ix3ZbzJ0114syWjnxoflI9RiGUvbTzw3wwt5xo5dZDFs72sZ7qTMYMhDIH61wZPA==" saltValue="iUIL8JzxAQBRudUGw1wGcg==" spinCount="100000" sheet="1" objects="1" scenarios="1"/>
  <mergeCells count="18">
    <mergeCell ref="AS5:AX5"/>
    <mergeCell ref="AY5:BD5"/>
    <mergeCell ref="C5:H5"/>
    <mergeCell ref="I5:N5"/>
    <mergeCell ref="Q5:V5"/>
    <mergeCell ref="W5:AB5"/>
    <mergeCell ref="AE5:AJ5"/>
    <mergeCell ref="AK5:AP5"/>
    <mergeCell ref="A1:A3"/>
    <mergeCell ref="B1:H1"/>
    <mergeCell ref="I1:AR1"/>
    <mergeCell ref="AS1:BD3"/>
    <mergeCell ref="B2:H2"/>
    <mergeCell ref="I2:AR2"/>
    <mergeCell ref="B3:H3"/>
    <mergeCell ref="I3:N3"/>
    <mergeCell ref="P3:AJ3"/>
    <mergeCell ref="AL3:AR3"/>
  </mergeCells>
  <conditionalFormatting sqref="D6">
    <cfRule type="cellIs" dxfId="1078" priority="276" stopIfTrue="1" operator="between">
      <formula>0</formula>
      <formula>0.5</formula>
    </cfRule>
  </conditionalFormatting>
  <conditionalFormatting sqref="AL6">
    <cfRule type="cellIs" dxfId="1077" priority="275" stopIfTrue="1" operator="between">
      <formula>0</formula>
      <formula>0.375</formula>
    </cfRule>
  </conditionalFormatting>
  <conditionalFormatting sqref="J6">
    <cfRule type="cellIs" dxfId="1076" priority="274" stopIfTrue="1" operator="between">
      <formula>0</formula>
      <formula>0.125</formula>
    </cfRule>
  </conditionalFormatting>
  <conditionalFormatting sqref="X6">
    <cfRule type="cellIs" dxfId="1075" priority="273" stopIfTrue="1" operator="between">
      <formula>0</formula>
      <formula>0.255</formula>
    </cfRule>
  </conditionalFormatting>
  <conditionalFormatting sqref="AZ6">
    <cfRule type="cellIs" dxfId="1074" priority="272" stopIfTrue="1" operator="between">
      <formula>0</formula>
      <formula>0.5</formula>
    </cfRule>
  </conditionalFormatting>
  <conditionalFormatting sqref="E6">
    <cfRule type="cellIs" dxfId="1073" priority="271" operator="between">
      <formula>0.51</formula>
      <formula>0.75</formula>
    </cfRule>
  </conditionalFormatting>
  <conditionalFormatting sqref="F6">
    <cfRule type="cellIs" dxfId="1072" priority="270" operator="between">
      <formula>0.76</formula>
      <formula>0.95</formula>
    </cfRule>
  </conditionalFormatting>
  <conditionalFormatting sqref="G6">
    <cfRule type="cellIs" dxfId="1071" priority="269" operator="between">
      <formula>0.96</formula>
      <formula>1</formula>
    </cfRule>
  </conditionalFormatting>
  <conditionalFormatting sqref="H6">
    <cfRule type="cellIs" dxfId="1070" priority="268" operator="greaterThan">
      <formula>1</formula>
    </cfRule>
  </conditionalFormatting>
  <conditionalFormatting sqref="D7">
    <cfRule type="cellIs" dxfId="1069" priority="267" stopIfTrue="1" operator="between">
      <formula>0</formula>
      <formula>0.5</formula>
    </cfRule>
  </conditionalFormatting>
  <conditionalFormatting sqref="E7">
    <cfRule type="cellIs" dxfId="1068" priority="266" operator="between">
      <formula>0.51</formula>
      <formula>0.75</formula>
    </cfRule>
  </conditionalFormatting>
  <conditionalFormatting sqref="F7">
    <cfRule type="cellIs" dxfId="1067" priority="265" operator="between">
      <formula>0.76</formula>
      <formula>0.95</formula>
    </cfRule>
  </conditionalFormatting>
  <conditionalFormatting sqref="H7">
    <cfRule type="cellIs" dxfId="1066" priority="263" operator="greaterThan">
      <formula>1</formula>
    </cfRule>
  </conditionalFormatting>
  <conditionalFormatting sqref="D8">
    <cfRule type="cellIs" dxfId="1065" priority="262" stopIfTrue="1" operator="between">
      <formula>0</formula>
      <formula>0.5</formula>
    </cfRule>
  </conditionalFormatting>
  <conditionalFormatting sqref="E8">
    <cfRule type="cellIs" dxfId="1064" priority="261" operator="between">
      <formula>0.51</formula>
      <formula>0.75</formula>
    </cfRule>
  </conditionalFormatting>
  <conditionalFormatting sqref="F8">
    <cfRule type="cellIs" dxfId="1063" priority="260" operator="between">
      <formula>0.76</formula>
      <formula>0.95</formula>
    </cfRule>
  </conditionalFormatting>
  <conditionalFormatting sqref="H8">
    <cfRule type="cellIs" dxfId="1062" priority="258" operator="greaterThan">
      <formula>1</formula>
    </cfRule>
  </conditionalFormatting>
  <conditionalFormatting sqref="D9">
    <cfRule type="cellIs" dxfId="1061" priority="257" stopIfTrue="1" operator="between">
      <formula>0</formula>
      <formula>0.5</formula>
    </cfRule>
  </conditionalFormatting>
  <conditionalFormatting sqref="E9">
    <cfRule type="cellIs" dxfId="1060" priority="256" operator="between">
      <formula>0.51</formula>
      <formula>0.75</formula>
    </cfRule>
  </conditionalFormatting>
  <conditionalFormatting sqref="F9">
    <cfRule type="cellIs" dxfId="1059" priority="255" operator="between">
      <formula>0.76</formula>
      <formula>0.95</formula>
    </cfRule>
  </conditionalFormatting>
  <conditionalFormatting sqref="H9">
    <cfRule type="cellIs" dxfId="1058" priority="253" operator="greaterThan">
      <formula>1</formula>
    </cfRule>
  </conditionalFormatting>
  <conditionalFormatting sqref="D11">
    <cfRule type="cellIs" dxfId="1057" priority="252" stopIfTrue="1" operator="between">
      <formula>0</formula>
      <formula>0.5</formula>
    </cfRule>
  </conditionalFormatting>
  <conditionalFormatting sqref="E11">
    <cfRule type="cellIs" dxfId="1056" priority="251" operator="between">
      <formula>0.51</formula>
      <formula>0.75</formula>
    </cfRule>
  </conditionalFormatting>
  <conditionalFormatting sqref="F11">
    <cfRule type="cellIs" dxfId="1055" priority="250" operator="between">
      <formula>0.76</formula>
      <formula>0.95</formula>
    </cfRule>
  </conditionalFormatting>
  <conditionalFormatting sqref="H11">
    <cfRule type="cellIs" dxfId="1054" priority="248" operator="greaterThan">
      <formula>1</formula>
    </cfRule>
  </conditionalFormatting>
  <conditionalFormatting sqref="R6">
    <cfRule type="cellIs" dxfId="1053" priority="247" stopIfTrue="1" operator="between">
      <formula>0</formula>
      <formula>0.5</formula>
    </cfRule>
  </conditionalFormatting>
  <conditionalFormatting sqref="S6">
    <cfRule type="cellIs" dxfId="1052" priority="246" operator="between">
      <formula>0.51</formula>
      <formula>0.75</formula>
    </cfRule>
  </conditionalFormatting>
  <conditionalFormatting sqref="T6">
    <cfRule type="cellIs" dxfId="1051" priority="245" operator="between">
      <formula>0.76</formula>
      <formula>0.95</formula>
    </cfRule>
  </conditionalFormatting>
  <conditionalFormatting sqref="U6">
    <cfRule type="cellIs" dxfId="1050" priority="244" operator="between">
      <formula>0.95</formula>
      <formula>1</formula>
    </cfRule>
  </conditionalFormatting>
  <conditionalFormatting sqref="V6">
    <cfRule type="cellIs" dxfId="1049" priority="243" operator="greaterThan">
      <formula>1</formula>
    </cfRule>
  </conditionalFormatting>
  <conditionalFormatting sqref="R7">
    <cfRule type="cellIs" dxfId="1048" priority="242" stopIfTrue="1" operator="between">
      <formula>0</formula>
      <formula>0.5</formula>
    </cfRule>
  </conditionalFormatting>
  <conditionalFormatting sqref="S7">
    <cfRule type="cellIs" dxfId="1047" priority="241" operator="between">
      <formula>0.51</formula>
      <formula>0.75</formula>
    </cfRule>
  </conditionalFormatting>
  <conditionalFormatting sqref="T7">
    <cfRule type="cellIs" dxfId="1046" priority="240" operator="between">
      <formula>0.76</formula>
      <formula>0.95</formula>
    </cfRule>
  </conditionalFormatting>
  <conditionalFormatting sqref="U7">
    <cfRule type="cellIs" dxfId="1045" priority="239" operator="between">
      <formula>0.95</formula>
      <formula>1</formula>
    </cfRule>
  </conditionalFormatting>
  <conditionalFormatting sqref="V7">
    <cfRule type="cellIs" dxfId="1044" priority="238" operator="greaterThan">
      <formula>1</formula>
    </cfRule>
  </conditionalFormatting>
  <conditionalFormatting sqref="R8">
    <cfRule type="cellIs" dxfId="1043" priority="237" stopIfTrue="1" operator="between">
      <formula>0</formula>
      <formula>0.5</formula>
    </cfRule>
  </conditionalFormatting>
  <conditionalFormatting sqref="S8">
    <cfRule type="cellIs" dxfId="1042" priority="236" operator="between">
      <formula>0.51</formula>
      <formula>0.75</formula>
    </cfRule>
  </conditionalFormatting>
  <conditionalFormatting sqref="T8">
    <cfRule type="cellIs" dxfId="1041" priority="235" operator="between">
      <formula>0.76</formula>
      <formula>0.95</formula>
    </cfRule>
  </conditionalFormatting>
  <conditionalFormatting sqref="U8">
    <cfRule type="cellIs" dxfId="1040" priority="234" operator="between">
      <formula>0.95</formula>
      <formula>1</formula>
    </cfRule>
  </conditionalFormatting>
  <conditionalFormatting sqref="V8">
    <cfRule type="cellIs" dxfId="1039" priority="233" operator="greaterThan">
      <formula>1</formula>
    </cfRule>
  </conditionalFormatting>
  <conditionalFormatting sqref="R9">
    <cfRule type="cellIs" dxfId="1038" priority="232" stopIfTrue="1" operator="between">
      <formula>0</formula>
      <formula>0.5</formula>
    </cfRule>
  </conditionalFormatting>
  <conditionalFormatting sqref="S9">
    <cfRule type="cellIs" dxfId="1037" priority="231" operator="between">
      <formula>0.51</formula>
      <formula>0.75</formula>
    </cfRule>
  </conditionalFormatting>
  <conditionalFormatting sqref="T9">
    <cfRule type="cellIs" dxfId="1036" priority="230" operator="between">
      <formula>0.76</formula>
      <formula>0.95</formula>
    </cfRule>
  </conditionalFormatting>
  <conditionalFormatting sqref="U9">
    <cfRule type="cellIs" dxfId="1035" priority="229" operator="between">
      <formula>0.95</formula>
      <formula>1</formula>
    </cfRule>
  </conditionalFormatting>
  <conditionalFormatting sqref="V9">
    <cfRule type="cellIs" dxfId="1034" priority="228" operator="greaterThan">
      <formula>1</formula>
    </cfRule>
  </conditionalFormatting>
  <conditionalFormatting sqref="AF6">
    <cfRule type="cellIs" dxfId="1033" priority="227" stopIfTrue="1" operator="between">
      <formula>0</formula>
      <formula>0.5</formula>
    </cfRule>
  </conditionalFormatting>
  <conditionalFormatting sqref="AG6">
    <cfRule type="cellIs" dxfId="1032" priority="226" operator="between">
      <formula>0.51</formula>
      <formula>0.75</formula>
    </cfRule>
  </conditionalFormatting>
  <conditionalFormatting sqref="AH6">
    <cfRule type="cellIs" dxfId="1031" priority="225" operator="between">
      <formula>0.76</formula>
      <formula>0.95</formula>
    </cfRule>
  </conditionalFormatting>
  <conditionalFormatting sqref="AI6">
    <cfRule type="cellIs" dxfId="1030" priority="224" operator="between">
      <formula>0.95</formula>
      <formula>1</formula>
    </cfRule>
  </conditionalFormatting>
  <conditionalFormatting sqref="AJ6">
    <cfRule type="cellIs" dxfId="1029" priority="223" operator="greaterThan">
      <formula>1</formula>
    </cfRule>
  </conditionalFormatting>
  <conditionalFormatting sqref="AF7">
    <cfRule type="cellIs" dxfId="1028" priority="222" stopIfTrue="1" operator="between">
      <formula>0</formula>
      <formula>0.5</formula>
    </cfRule>
  </conditionalFormatting>
  <conditionalFormatting sqref="AG7">
    <cfRule type="cellIs" dxfId="1027" priority="221" operator="between">
      <formula>0.51</formula>
      <formula>0.75</formula>
    </cfRule>
  </conditionalFormatting>
  <conditionalFormatting sqref="AH7">
    <cfRule type="cellIs" dxfId="1026" priority="220" operator="between">
      <formula>0.76</formula>
      <formula>0.95</formula>
    </cfRule>
  </conditionalFormatting>
  <conditionalFormatting sqref="AI7">
    <cfRule type="cellIs" dxfId="1025" priority="219" operator="between">
      <formula>0.95</formula>
      <formula>1</formula>
    </cfRule>
  </conditionalFormatting>
  <conditionalFormatting sqref="AJ7">
    <cfRule type="cellIs" dxfId="1024" priority="218" operator="greaterThan">
      <formula>1</formula>
    </cfRule>
  </conditionalFormatting>
  <conditionalFormatting sqref="AF8">
    <cfRule type="cellIs" dxfId="1023" priority="217" stopIfTrue="1" operator="between">
      <formula>0</formula>
      <formula>0.5</formula>
    </cfRule>
  </conditionalFormatting>
  <conditionalFormatting sqref="AG8">
    <cfRule type="cellIs" dxfId="1022" priority="216" operator="between">
      <formula>0.51</formula>
      <formula>0.75</formula>
    </cfRule>
  </conditionalFormatting>
  <conditionalFormatting sqref="AH8">
    <cfRule type="cellIs" dxfId="1021" priority="215" operator="between">
      <formula>0.76</formula>
      <formula>0.95</formula>
    </cfRule>
  </conditionalFormatting>
  <conditionalFormatting sqref="AI8">
    <cfRule type="cellIs" dxfId="1020" priority="214" operator="between">
      <formula>0.95</formula>
      <formula>1</formula>
    </cfRule>
  </conditionalFormatting>
  <conditionalFormatting sqref="AJ8">
    <cfRule type="cellIs" dxfId="1019" priority="213" operator="greaterThan">
      <formula>1</formula>
    </cfRule>
  </conditionalFormatting>
  <conditionalFormatting sqref="AF9">
    <cfRule type="cellIs" dxfId="1018" priority="212" stopIfTrue="1" operator="between">
      <formula>0</formula>
      <formula>0.5</formula>
    </cfRule>
  </conditionalFormatting>
  <conditionalFormatting sqref="AG9">
    <cfRule type="cellIs" dxfId="1017" priority="211" operator="between">
      <formula>0.51</formula>
      <formula>0.75</formula>
    </cfRule>
  </conditionalFormatting>
  <conditionalFormatting sqref="AH9">
    <cfRule type="cellIs" dxfId="1016" priority="210" operator="between">
      <formula>0.76</formula>
      <formula>0.95</formula>
    </cfRule>
  </conditionalFormatting>
  <conditionalFormatting sqref="AI9">
    <cfRule type="cellIs" dxfId="1015" priority="209" operator="between">
      <formula>0.95</formula>
      <formula>1</formula>
    </cfRule>
  </conditionalFormatting>
  <conditionalFormatting sqref="AJ9">
    <cfRule type="cellIs" dxfId="1014" priority="208" operator="greaterThan">
      <formula>1</formula>
    </cfRule>
  </conditionalFormatting>
  <conditionalFormatting sqref="AT6">
    <cfRule type="cellIs" dxfId="1013" priority="207" stopIfTrue="1" operator="between">
      <formula>0</formula>
      <formula>0.5</formula>
    </cfRule>
  </conditionalFormatting>
  <conditionalFormatting sqref="AU6">
    <cfRule type="cellIs" dxfId="1012" priority="206" operator="between">
      <formula>0.51</formula>
      <formula>0.75</formula>
    </cfRule>
  </conditionalFormatting>
  <conditionalFormatting sqref="AV6">
    <cfRule type="cellIs" dxfId="1011" priority="205" operator="between">
      <formula>0.76</formula>
      <formula>0.95</formula>
    </cfRule>
  </conditionalFormatting>
  <conditionalFormatting sqref="AW6">
    <cfRule type="cellIs" dxfId="1010" priority="204" operator="between">
      <formula>0.95</formula>
      <formula>1</formula>
    </cfRule>
  </conditionalFormatting>
  <conditionalFormatting sqref="AX6">
    <cfRule type="cellIs" dxfId="1009" priority="203" operator="greaterThan">
      <formula>1</formula>
    </cfRule>
  </conditionalFormatting>
  <conditionalFormatting sqref="AT7">
    <cfRule type="cellIs" dxfId="1008" priority="202" stopIfTrue="1" operator="between">
      <formula>0</formula>
      <formula>0.5</formula>
    </cfRule>
  </conditionalFormatting>
  <conditionalFormatting sqref="AU7">
    <cfRule type="cellIs" dxfId="1007" priority="201" operator="between">
      <formula>0.51</formula>
      <formula>0.75</formula>
    </cfRule>
  </conditionalFormatting>
  <conditionalFormatting sqref="AV7">
    <cfRule type="cellIs" dxfId="1006" priority="200" operator="between">
      <formula>0.76</formula>
      <formula>0.95</formula>
    </cfRule>
  </conditionalFormatting>
  <conditionalFormatting sqref="AW7">
    <cfRule type="cellIs" dxfId="1005" priority="199" operator="between">
      <formula>0.95</formula>
      <formula>1</formula>
    </cfRule>
  </conditionalFormatting>
  <conditionalFormatting sqref="AX7">
    <cfRule type="cellIs" dxfId="1004" priority="198" operator="greaterThan">
      <formula>1</formula>
    </cfRule>
  </conditionalFormatting>
  <conditionalFormatting sqref="AT8">
    <cfRule type="cellIs" dxfId="1003" priority="197" stopIfTrue="1" operator="between">
      <formula>0</formula>
      <formula>0.5</formula>
    </cfRule>
  </conditionalFormatting>
  <conditionalFormatting sqref="AU8">
    <cfRule type="cellIs" dxfId="1002" priority="196" operator="between">
      <formula>0.51</formula>
      <formula>0.75</formula>
    </cfRule>
  </conditionalFormatting>
  <conditionalFormatting sqref="AV8">
    <cfRule type="cellIs" dxfId="1001" priority="195" operator="between">
      <formula>0.76</formula>
      <formula>0.95</formula>
    </cfRule>
  </conditionalFormatting>
  <conditionalFormatting sqref="AW8">
    <cfRule type="cellIs" dxfId="1000" priority="194" operator="between">
      <formula>0.95</formula>
      <formula>1</formula>
    </cfRule>
  </conditionalFormatting>
  <conditionalFormatting sqref="AX8">
    <cfRule type="cellIs" dxfId="999" priority="193" operator="greaterThan">
      <formula>1</formula>
    </cfRule>
  </conditionalFormatting>
  <conditionalFormatting sqref="AT9">
    <cfRule type="cellIs" dxfId="998" priority="192" stopIfTrue="1" operator="between">
      <formula>0</formula>
      <formula>0.5</formula>
    </cfRule>
  </conditionalFormatting>
  <conditionalFormatting sqref="AU9">
    <cfRule type="cellIs" dxfId="997" priority="191" operator="between">
      <formula>0.51</formula>
      <formula>0.75</formula>
    </cfRule>
  </conditionalFormatting>
  <conditionalFormatting sqref="AV9">
    <cfRule type="cellIs" dxfId="996" priority="190" operator="between">
      <formula>0.76</formula>
      <formula>0.95</formula>
    </cfRule>
  </conditionalFormatting>
  <conditionalFormatting sqref="AW9">
    <cfRule type="cellIs" dxfId="995" priority="189" operator="between">
      <formula>0.95</formula>
      <formula>1</formula>
    </cfRule>
  </conditionalFormatting>
  <conditionalFormatting sqref="AX9">
    <cfRule type="cellIs" dxfId="994" priority="188" operator="greaterThan">
      <formula>1</formula>
    </cfRule>
  </conditionalFormatting>
  <conditionalFormatting sqref="R11">
    <cfRule type="cellIs" dxfId="993" priority="187" stopIfTrue="1" operator="between">
      <formula>0</formula>
      <formula>0.5</formula>
    </cfRule>
  </conditionalFormatting>
  <conditionalFormatting sqref="S11">
    <cfRule type="cellIs" dxfId="992" priority="186" operator="between">
      <formula>0.51</formula>
      <formula>0.75</formula>
    </cfRule>
  </conditionalFormatting>
  <conditionalFormatting sqref="T11">
    <cfRule type="cellIs" dxfId="991" priority="185" operator="between">
      <formula>0.76</formula>
      <formula>0.95</formula>
    </cfRule>
  </conditionalFormatting>
  <conditionalFormatting sqref="U11">
    <cfRule type="cellIs" dxfId="990" priority="184" operator="between">
      <formula>0.95</formula>
      <formula>1</formula>
    </cfRule>
  </conditionalFormatting>
  <conditionalFormatting sqref="V11">
    <cfRule type="cellIs" dxfId="989" priority="183" operator="greaterThan">
      <formula>1</formula>
    </cfRule>
  </conditionalFormatting>
  <conditionalFormatting sqref="AF11">
    <cfRule type="cellIs" dxfId="988" priority="182" stopIfTrue="1" operator="between">
      <formula>0</formula>
      <formula>0.5</formula>
    </cfRule>
  </conditionalFormatting>
  <conditionalFormatting sqref="AG11">
    <cfRule type="cellIs" dxfId="987" priority="181" operator="between">
      <formula>0.51</formula>
      <formula>0.75</formula>
    </cfRule>
  </conditionalFormatting>
  <conditionalFormatting sqref="AH11">
    <cfRule type="cellIs" dxfId="986" priority="180" operator="between">
      <formula>0.76</formula>
      <formula>0.95</formula>
    </cfRule>
  </conditionalFormatting>
  <conditionalFormatting sqref="AI11">
    <cfRule type="cellIs" dxfId="985" priority="179" operator="between">
      <formula>0.95</formula>
      <formula>1</formula>
    </cfRule>
  </conditionalFormatting>
  <conditionalFormatting sqref="AJ11">
    <cfRule type="cellIs" dxfId="984" priority="178" operator="greaterThan">
      <formula>1</formula>
    </cfRule>
  </conditionalFormatting>
  <conditionalFormatting sqref="AT11">
    <cfRule type="cellIs" dxfId="983" priority="177" stopIfTrue="1" operator="between">
      <formula>0</formula>
      <formula>0.5</formula>
    </cfRule>
  </conditionalFormatting>
  <conditionalFormatting sqref="AU11">
    <cfRule type="cellIs" dxfId="982" priority="176" operator="between">
      <formula>0.51</formula>
      <formula>0.75</formula>
    </cfRule>
  </conditionalFormatting>
  <conditionalFormatting sqref="AV11">
    <cfRule type="cellIs" dxfId="981" priority="175" operator="between">
      <formula>0.76</formula>
      <formula>0.95</formula>
    </cfRule>
  </conditionalFormatting>
  <conditionalFormatting sqref="AW11">
    <cfRule type="cellIs" dxfId="980" priority="174" operator="between">
      <formula>0.95</formula>
      <formula>1</formula>
    </cfRule>
  </conditionalFormatting>
  <conditionalFormatting sqref="AX11">
    <cfRule type="cellIs" dxfId="979" priority="173" operator="greaterThan">
      <formula>1</formula>
    </cfRule>
  </conditionalFormatting>
  <conditionalFormatting sqref="K6">
    <cfRule type="cellIs" dxfId="978" priority="172" operator="between">
      <formula>0.1251</formula>
      <formula>0.1875</formula>
    </cfRule>
  </conditionalFormatting>
  <conditionalFormatting sqref="L6">
    <cfRule type="cellIs" dxfId="977" priority="171" operator="between">
      <formula>0.1876</formula>
      <formula>0.2375</formula>
    </cfRule>
  </conditionalFormatting>
  <conditionalFormatting sqref="M6">
    <cfRule type="cellIs" dxfId="976" priority="170" operator="between">
      <formula>0.2376</formula>
      <formula>0.25</formula>
    </cfRule>
  </conditionalFormatting>
  <conditionalFormatting sqref="N6">
    <cfRule type="cellIs" dxfId="975" priority="169" operator="greaterThan">
      <formula>0.25</formula>
    </cfRule>
  </conditionalFormatting>
  <conditionalFormatting sqref="Y6">
    <cfRule type="cellIs" dxfId="974" priority="148" operator="between">
      <formula>0.2551</formula>
      <formula>0.375</formula>
    </cfRule>
  </conditionalFormatting>
  <conditionalFormatting sqref="Z6">
    <cfRule type="cellIs" dxfId="973" priority="147" operator="between">
      <formula>0.38</formula>
      <formula>0.475</formula>
    </cfRule>
  </conditionalFormatting>
  <conditionalFormatting sqref="AA6">
    <cfRule type="cellIs" dxfId="972" priority="146" operator="between">
      <formula>0.48</formula>
      <formula>0.51</formula>
    </cfRule>
  </conditionalFormatting>
  <conditionalFormatting sqref="AB6:AC6">
    <cfRule type="cellIs" dxfId="971" priority="145" operator="greaterThan">
      <formula>0.505</formula>
    </cfRule>
  </conditionalFormatting>
  <conditionalFormatting sqref="X7">
    <cfRule type="cellIs" dxfId="970" priority="144" stopIfTrue="1" operator="between">
      <formula>0</formula>
      <formula>0.255</formula>
    </cfRule>
  </conditionalFormatting>
  <conditionalFormatting sqref="Y7">
    <cfRule type="cellIs" dxfId="969" priority="143" operator="between">
      <formula>0.2551</formula>
      <formula>0.375</formula>
    </cfRule>
  </conditionalFormatting>
  <conditionalFormatting sqref="Z7">
    <cfRule type="cellIs" dxfId="968" priority="142" operator="between">
      <formula>0.38</formula>
      <formula>0.475</formula>
    </cfRule>
  </conditionalFormatting>
  <conditionalFormatting sqref="AA7">
    <cfRule type="cellIs" dxfId="967" priority="141" operator="between">
      <formula>0.48</formula>
      <formula>0.51</formula>
    </cfRule>
  </conditionalFormatting>
  <conditionalFormatting sqref="AB7:AC7">
    <cfRule type="cellIs" dxfId="966" priority="140" operator="greaterThan">
      <formula>0.505</formula>
    </cfRule>
  </conditionalFormatting>
  <conditionalFormatting sqref="X8">
    <cfRule type="cellIs" dxfId="965" priority="139" stopIfTrue="1" operator="between">
      <formula>0</formula>
      <formula>0.255</formula>
    </cfRule>
  </conditionalFormatting>
  <conditionalFormatting sqref="Y8">
    <cfRule type="cellIs" dxfId="964" priority="138" operator="between">
      <formula>0.2551</formula>
      <formula>0.375</formula>
    </cfRule>
  </conditionalFormatting>
  <conditionalFormatting sqref="Z8">
    <cfRule type="cellIs" dxfId="963" priority="137" operator="between">
      <formula>0.38</formula>
      <formula>0.475</formula>
    </cfRule>
  </conditionalFormatting>
  <conditionalFormatting sqref="AA8">
    <cfRule type="cellIs" dxfId="962" priority="136" operator="between">
      <formula>0.48</formula>
      <formula>0.51</formula>
    </cfRule>
  </conditionalFormatting>
  <conditionalFormatting sqref="AB8:AC8">
    <cfRule type="cellIs" dxfId="961" priority="135" operator="greaterThan">
      <formula>0.505</formula>
    </cfRule>
  </conditionalFormatting>
  <conditionalFormatting sqref="X9">
    <cfRule type="cellIs" dxfId="960" priority="134" stopIfTrue="1" operator="between">
      <formula>0</formula>
      <formula>0.255</formula>
    </cfRule>
  </conditionalFormatting>
  <conditionalFormatting sqref="Y9">
    <cfRule type="cellIs" dxfId="959" priority="133" operator="between">
      <formula>0.2551</formula>
      <formula>0.375</formula>
    </cfRule>
  </conditionalFormatting>
  <conditionalFormatting sqref="Z9">
    <cfRule type="cellIs" dxfId="958" priority="132" operator="between">
      <formula>0.38</formula>
      <formula>0.475</formula>
    </cfRule>
  </conditionalFormatting>
  <conditionalFormatting sqref="AA9">
    <cfRule type="cellIs" dxfId="957" priority="131" operator="between">
      <formula>0.48</formula>
      <formula>0.51</formula>
    </cfRule>
  </conditionalFormatting>
  <conditionalFormatting sqref="AB9:AC9">
    <cfRule type="cellIs" dxfId="956" priority="130" operator="greaterThan">
      <formula>0.505</formula>
    </cfRule>
  </conditionalFormatting>
  <conditionalFormatting sqref="X11">
    <cfRule type="cellIs" dxfId="955" priority="129" stopIfTrue="1" operator="between">
      <formula>0</formula>
      <formula>0.255</formula>
    </cfRule>
  </conditionalFormatting>
  <conditionalFormatting sqref="Y11">
    <cfRule type="cellIs" dxfId="954" priority="128" operator="between">
      <formula>0.2551</formula>
      <formula>0.375</formula>
    </cfRule>
  </conditionalFormatting>
  <conditionalFormatting sqref="Z11">
    <cfRule type="cellIs" dxfId="953" priority="127" operator="between">
      <formula>0.38</formula>
      <formula>0.475</formula>
    </cfRule>
  </conditionalFormatting>
  <conditionalFormatting sqref="AA11">
    <cfRule type="cellIs" dxfId="952" priority="126" operator="between">
      <formula>0.48</formula>
      <formula>0.51</formula>
    </cfRule>
  </conditionalFormatting>
  <conditionalFormatting sqref="AB11:AC11">
    <cfRule type="cellIs" dxfId="951" priority="125" operator="greaterThan">
      <formula>0.505</formula>
    </cfRule>
  </conditionalFormatting>
  <conditionalFormatting sqref="AM6">
    <cfRule type="cellIs" dxfId="950" priority="124" operator="between">
      <formula>0.3751</formula>
      <formula>0.5625</formula>
    </cfRule>
  </conditionalFormatting>
  <conditionalFormatting sqref="AN6">
    <cfRule type="cellIs" dxfId="949" priority="123" operator="between">
      <formula>0.563</formula>
      <formula>0.7125</formula>
    </cfRule>
  </conditionalFormatting>
  <conditionalFormatting sqref="AO6">
    <cfRule type="cellIs" dxfId="948" priority="122" operator="between">
      <formula>0.713</formula>
      <formula>0.75</formula>
    </cfRule>
  </conditionalFormatting>
  <conditionalFormatting sqref="AP6">
    <cfRule type="cellIs" dxfId="947" priority="121" operator="greaterThan">
      <formula>0.755</formula>
    </cfRule>
  </conditionalFormatting>
  <conditionalFormatting sqref="AL7">
    <cfRule type="cellIs" dxfId="946" priority="120" stopIfTrue="1" operator="between">
      <formula>0</formula>
      <formula>0.375</formula>
    </cfRule>
  </conditionalFormatting>
  <conditionalFormatting sqref="AM7">
    <cfRule type="cellIs" dxfId="945" priority="119" operator="between">
      <formula>0.3751</formula>
      <formula>0.5625</formula>
    </cfRule>
  </conditionalFormatting>
  <conditionalFormatting sqref="AN7">
    <cfRule type="cellIs" dxfId="944" priority="118" operator="between">
      <formula>0.563</formula>
      <formula>0.7125</formula>
    </cfRule>
  </conditionalFormatting>
  <conditionalFormatting sqref="AO7">
    <cfRule type="cellIs" dxfId="943" priority="117" operator="between">
      <formula>0.713</formula>
      <formula>0.75</formula>
    </cfRule>
  </conditionalFormatting>
  <conditionalFormatting sqref="AP7">
    <cfRule type="cellIs" dxfId="942" priority="116" operator="greaterThan">
      <formula>0.755</formula>
    </cfRule>
  </conditionalFormatting>
  <conditionalFormatting sqref="AL8">
    <cfRule type="cellIs" dxfId="941" priority="115" stopIfTrue="1" operator="between">
      <formula>0</formula>
      <formula>0.375</formula>
    </cfRule>
  </conditionalFormatting>
  <conditionalFormatting sqref="AM8">
    <cfRule type="cellIs" dxfId="940" priority="114" operator="between">
      <formula>0.3751</formula>
      <formula>0.5625</formula>
    </cfRule>
  </conditionalFormatting>
  <conditionalFormatting sqref="AN8">
    <cfRule type="cellIs" dxfId="939" priority="113" operator="between">
      <formula>0.563</formula>
      <formula>0.7125</formula>
    </cfRule>
  </conditionalFormatting>
  <conditionalFormatting sqref="AO8">
    <cfRule type="cellIs" dxfId="938" priority="112" operator="between">
      <formula>0.713</formula>
      <formula>0.75</formula>
    </cfRule>
  </conditionalFormatting>
  <conditionalFormatting sqref="AP8">
    <cfRule type="cellIs" dxfId="937" priority="111" operator="greaterThan">
      <formula>0.755</formula>
    </cfRule>
  </conditionalFormatting>
  <conditionalFormatting sqref="AL9">
    <cfRule type="cellIs" dxfId="936" priority="110" stopIfTrue="1" operator="between">
      <formula>0</formula>
      <formula>0.375</formula>
    </cfRule>
  </conditionalFormatting>
  <conditionalFormatting sqref="AM9">
    <cfRule type="cellIs" dxfId="935" priority="109" operator="between">
      <formula>0.3751</formula>
      <formula>0.5625</formula>
    </cfRule>
  </conditionalFormatting>
  <conditionalFormatting sqref="AN9">
    <cfRule type="cellIs" dxfId="934" priority="108" operator="between">
      <formula>0.563</formula>
      <formula>0.7125</formula>
    </cfRule>
  </conditionalFormatting>
  <conditionalFormatting sqref="AO9">
    <cfRule type="cellIs" dxfId="933" priority="107" operator="between">
      <formula>0.713</formula>
      <formula>0.75</formula>
    </cfRule>
  </conditionalFormatting>
  <conditionalFormatting sqref="AP9">
    <cfRule type="cellIs" dxfId="932" priority="106" operator="greaterThan">
      <formula>0.755</formula>
    </cfRule>
  </conditionalFormatting>
  <conditionalFormatting sqref="AL11">
    <cfRule type="cellIs" dxfId="931" priority="105" stopIfTrue="1" operator="between">
      <formula>0</formula>
      <formula>0.375</formula>
    </cfRule>
  </conditionalFormatting>
  <conditionalFormatting sqref="AM11">
    <cfRule type="cellIs" dxfId="930" priority="104" operator="between">
      <formula>0.3751</formula>
      <formula>0.5625</formula>
    </cfRule>
  </conditionalFormatting>
  <conditionalFormatting sqref="AN11">
    <cfRule type="cellIs" dxfId="929" priority="103" operator="between">
      <formula>0.563</formula>
      <formula>0.7125</formula>
    </cfRule>
  </conditionalFormatting>
  <conditionalFormatting sqref="AO11">
    <cfRule type="cellIs" dxfId="928" priority="102" operator="between">
      <formula>0.713</formula>
      <formula>0.75</formula>
    </cfRule>
  </conditionalFormatting>
  <conditionalFormatting sqref="AP11">
    <cfRule type="cellIs" dxfId="927" priority="101" operator="greaterThan">
      <formula>0.755</formula>
    </cfRule>
  </conditionalFormatting>
  <conditionalFormatting sqref="BA6">
    <cfRule type="cellIs" dxfId="926" priority="100" operator="between">
      <formula>0.51</formula>
      <formula>0.75</formula>
    </cfRule>
  </conditionalFormatting>
  <conditionalFormatting sqref="BB6">
    <cfRule type="cellIs" dxfId="925" priority="99" operator="between">
      <formula>0.76</formula>
      <formula>0.95</formula>
    </cfRule>
  </conditionalFormatting>
  <conditionalFormatting sqref="BC6">
    <cfRule type="cellIs" dxfId="924" priority="98" operator="between">
      <formula>0.95</formula>
      <formula>1</formula>
    </cfRule>
  </conditionalFormatting>
  <conditionalFormatting sqref="BD6">
    <cfRule type="cellIs" dxfId="923" priority="97" operator="greaterThan">
      <formula>1</formula>
    </cfRule>
  </conditionalFormatting>
  <conditionalFormatting sqref="AZ7">
    <cfRule type="cellIs" dxfId="922" priority="96" stopIfTrue="1" operator="between">
      <formula>0</formula>
      <formula>0.5</formula>
    </cfRule>
  </conditionalFormatting>
  <conditionalFormatting sqref="BA7">
    <cfRule type="cellIs" dxfId="921" priority="95" operator="between">
      <formula>0.51</formula>
      <formula>0.75</formula>
    </cfRule>
  </conditionalFormatting>
  <conditionalFormatting sqref="BB7">
    <cfRule type="cellIs" dxfId="920" priority="94" operator="between">
      <formula>0.76</formula>
      <formula>0.95</formula>
    </cfRule>
  </conditionalFormatting>
  <conditionalFormatting sqref="BC7">
    <cfRule type="cellIs" dxfId="919" priority="93" operator="between">
      <formula>0.95</formula>
      <formula>1</formula>
    </cfRule>
  </conditionalFormatting>
  <conditionalFormatting sqref="BD7">
    <cfRule type="cellIs" dxfId="918" priority="92" operator="greaterThan">
      <formula>1</formula>
    </cfRule>
  </conditionalFormatting>
  <conditionalFormatting sqref="AZ8">
    <cfRule type="cellIs" dxfId="917" priority="91" stopIfTrue="1" operator="between">
      <formula>0</formula>
      <formula>0.5</formula>
    </cfRule>
  </conditionalFormatting>
  <conditionalFormatting sqref="BA8">
    <cfRule type="cellIs" dxfId="916" priority="90" operator="between">
      <formula>0.51</formula>
      <formula>0.75</formula>
    </cfRule>
  </conditionalFormatting>
  <conditionalFormatting sqref="BB8">
    <cfRule type="cellIs" dxfId="915" priority="89" operator="between">
      <formula>0.76</formula>
      <formula>0.95</formula>
    </cfRule>
  </conditionalFormatting>
  <conditionalFormatting sqref="BC8">
    <cfRule type="cellIs" dxfId="914" priority="88" operator="between">
      <formula>0.95</formula>
      <formula>1</formula>
    </cfRule>
  </conditionalFormatting>
  <conditionalFormatting sqref="BD8">
    <cfRule type="cellIs" dxfId="913" priority="87" operator="greaterThan">
      <formula>1</formula>
    </cfRule>
  </conditionalFormatting>
  <conditionalFormatting sqref="AZ9">
    <cfRule type="cellIs" dxfId="912" priority="86" stopIfTrue="1" operator="between">
      <formula>0</formula>
      <formula>0.5</formula>
    </cfRule>
  </conditionalFormatting>
  <conditionalFormatting sqref="BA9">
    <cfRule type="cellIs" dxfId="911" priority="85" operator="between">
      <formula>0.51</formula>
      <formula>0.75</formula>
    </cfRule>
  </conditionalFormatting>
  <conditionalFormatting sqref="BB9">
    <cfRule type="cellIs" dxfId="910" priority="84" operator="between">
      <formula>0.76</formula>
      <formula>0.95</formula>
    </cfRule>
  </conditionalFormatting>
  <conditionalFormatting sqref="BC9">
    <cfRule type="cellIs" dxfId="909" priority="83" operator="between">
      <formula>0.95</formula>
      <formula>1</formula>
    </cfRule>
  </conditionalFormatting>
  <conditionalFormatting sqref="BD9">
    <cfRule type="cellIs" dxfId="908" priority="82" operator="greaterThan">
      <formula>1</formula>
    </cfRule>
  </conditionalFormatting>
  <conditionalFormatting sqref="AZ11">
    <cfRule type="cellIs" dxfId="907" priority="81" stopIfTrue="1" operator="between">
      <formula>0</formula>
      <formula>0.5</formula>
    </cfRule>
  </conditionalFormatting>
  <conditionalFormatting sqref="BA11">
    <cfRule type="cellIs" dxfId="906" priority="80" operator="between">
      <formula>0.51</formula>
      <formula>0.75</formula>
    </cfRule>
  </conditionalFormatting>
  <conditionalFormatting sqref="BB11">
    <cfRule type="cellIs" dxfId="905" priority="79" operator="between">
      <formula>0.76</formula>
      <formula>0.95</formula>
    </cfRule>
  </conditionalFormatting>
  <conditionalFormatting sqref="BC11">
    <cfRule type="cellIs" dxfId="904" priority="78" operator="between">
      <formula>0.95</formula>
      <formula>1</formula>
    </cfRule>
  </conditionalFormatting>
  <conditionalFormatting sqref="BD11">
    <cfRule type="cellIs" dxfId="903" priority="77" operator="greaterThan">
      <formula>1</formula>
    </cfRule>
  </conditionalFormatting>
  <conditionalFormatting sqref="D13">
    <cfRule type="cellIs" dxfId="902" priority="76" stopIfTrue="1" operator="between">
      <formula>0</formula>
      <formula>0.5</formula>
    </cfRule>
  </conditionalFormatting>
  <conditionalFormatting sqref="E13">
    <cfRule type="cellIs" dxfId="901" priority="75" operator="between">
      <formula>0.51</formula>
      <formula>0.75</formula>
    </cfRule>
  </conditionalFormatting>
  <conditionalFormatting sqref="F13">
    <cfRule type="cellIs" dxfId="900" priority="74" operator="between">
      <formula>0.76</formula>
      <formula>0.95</formula>
    </cfRule>
  </conditionalFormatting>
  <conditionalFormatting sqref="H13">
    <cfRule type="cellIs" dxfId="899" priority="72" operator="greaterThan">
      <formula>1</formula>
    </cfRule>
  </conditionalFormatting>
  <conditionalFormatting sqref="R13">
    <cfRule type="cellIs" dxfId="898" priority="71" stopIfTrue="1" operator="between">
      <formula>0</formula>
      <formula>0.5</formula>
    </cfRule>
  </conditionalFormatting>
  <conditionalFormatting sqref="S13">
    <cfRule type="cellIs" dxfId="897" priority="70" operator="between">
      <formula>0.51</formula>
      <formula>0.75</formula>
    </cfRule>
  </conditionalFormatting>
  <conditionalFormatting sqref="T13">
    <cfRule type="cellIs" dxfId="896" priority="69" operator="between">
      <formula>0.76</formula>
      <formula>0.95</formula>
    </cfRule>
  </conditionalFormatting>
  <conditionalFormatting sqref="U13">
    <cfRule type="cellIs" dxfId="895" priority="68" operator="between">
      <formula>0.95</formula>
      <formula>1</formula>
    </cfRule>
  </conditionalFormatting>
  <conditionalFormatting sqref="V13">
    <cfRule type="cellIs" dxfId="894" priority="67" operator="greaterThan">
      <formula>1</formula>
    </cfRule>
  </conditionalFormatting>
  <conditionalFormatting sqref="AF13">
    <cfRule type="cellIs" dxfId="893" priority="66" stopIfTrue="1" operator="between">
      <formula>0</formula>
      <formula>0.5</formula>
    </cfRule>
  </conditionalFormatting>
  <conditionalFormatting sqref="AG13">
    <cfRule type="cellIs" dxfId="892" priority="65" operator="between">
      <formula>0.51</formula>
      <formula>0.75</formula>
    </cfRule>
  </conditionalFormatting>
  <conditionalFormatting sqref="AH13">
    <cfRule type="cellIs" dxfId="891" priority="64" operator="between">
      <formula>0.76</formula>
      <formula>0.95</formula>
    </cfRule>
  </conditionalFormatting>
  <conditionalFormatting sqref="AI13">
    <cfRule type="cellIs" dxfId="890" priority="63" operator="between">
      <formula>0.95</formula>
      <formula>1</formula>
    </cfRule>
  </conditionalFormatting>
  <conditionalFormatting sqref="AJ13">
    <cfRule type="cellIs" dxfId="889" priority="62" operator="greaterThan">
      <formula>1</formula>
    </cfRule>
  </conditionalFormatting>
  <conditionalFormatting sqref="AT13">
    <cfRule type="cellIs" dxfId="888" priority="61" stopIfTrue="1" operator="between">
      <formula>0</formula>
      <formula>0.5</formula>
    </cfRule>
  </conditionalFormatting>
  <conditionalFormatting sqref="AU13">
    <cfRule type="cellIs" dxfId="887" priority="60" operator="between">
      <formula>0.51</formula>
      <formula>0.75</formula>
    </cfRule>
  </conditionalFormatting>
  <conditionalFormatting sqref="AV13">
    <cfRule type="cellIs" dxfId="886" priority="59" operator="between">
      <formula>0.76</formula>
      <formula>0.95</formula>
    </cfRule>
  </conditionalFormatting>
  <conditionalFormatting sqref="AW13">
    <cfRule type="cellIs" dxfId="885" priority="58" operator="between">
      <formula>0.95</formula>
      <formula>1</formula>
    </cfRule>
  </conditionalFormatting>
  <conditionalFormatting sqref="AX13">
    <cfRule type="cellIs" dxfId="884" priority="57" operator="greaterThan">
      <formula>1</formula>
    </cfRule>
  </conditionalFormatting>
  <conditionalFormatting sqref="O13">
    <cfRule type="cellIs" dxfId="883" priority="52" operator="greaterThan">
      <formula>0.2601</formula>
    </cfRule>
  </conditionalFormatting>
  <conditionalFormatting sqref="AQ13">
    <cfRule type="cellIs" dxfId="882" priority="51" operator="greaterThan">
      <formula>0.755</formula>
    </cfRule>
  </conditionalFormatting>
  <conditionalFormatting sqref="AZ13">
    <cfRule type="cellIs" dxfId="881" priority="50" stopIfTrue="1" operator="between">
      <formula>0</formula>
      <formula>0.5</formula>
    </cfRule>
  </conditionalFormatting>
  <conditionalFormatting sqref="BA13">
    <cfRule type="cellIs" dxfId="880" priority="49" operator="between">
      <formula>0.51</formula>
      <formula>0.75</formula>
    </cfRule>
  </conditionalFormatting>
  <conditionalFormatting sqref="BB13">
    <cfRule type="cellIs" dxfId="879" priority="48" operator="between">
      <formula>0.76</formula>
      <formula>0.95</formula>
    </cfRule>
  </conditionalFormatting>
  <conditionalFormatting sqref="BC13">
    <cfRule type="cellIs" dxfId="878" priority="47" operator="between">
      <formula>0.95</formula>
      <formula>1</formula>
    </cfRule>
  </conditionalFormatting>
  <conditionalFormatting sqref="BD13">
    <cfRule type="cellIs" dxfId="877" priority="46" operator="greaterThan">
      <formula>1</formula>
    </cfRule>
  </conditionalFormatting>
  <conditionalFormatting sqref="X13">
    <cfRule type="cellIs" dxfId="876" priority="45" stopIfTrue="1" operator="between">
      <formula>0</formula>
      <formula>0.255</formula>
    </cfRule>
  </conditionalFormatting>
  <conditionalFormatting sqref="Y13">
    <cfRule type="cellIs" dxfId="875" priority="44" operator="between">
      <formula>0.2551</formula>
      <formula>0.375</formula>
    </cfRule>
  </conditionalFormatting>
  <conditionalFormatting sqref="Z13">
    <cfRule type="cellIs" dxfId="874" priority="43" operator="between">
      <formula>0.3751</formula>
      <formula>0.475</formula>
    </cfRule>
  </conditionalFormatting>
  <conditionalFormatting sqref="AA13">
    <cfRule type="cellIs" dxfId="873" priority="42" operator="between">
      <formula>0.48</formula>
      <formula>0.51</formula>
    </cfRule>
  </conditionalFormatting>
  <conditionalFormatting sqref="AB13:AC13">
    <cfRule type="cellIs" dxfId="872" priority="41" operator="greaterThan">
      <formula>0.505</formula>
    </cfRule>
  </conditionalFormatting>
  <conditionalFormatting sqref="AQ6">
    <cfRule type="cellIs" dxfId="871" priority="40" operator="greaterThan">
      <formula>0.505</formula>
    </cfRule>
  </conditionalFormatting>
  <conditionalFormatting sqref="AQ7">
    <cfRule type="cellIs" dxfId="870" priority="39" operator="greaterThan">
      <formula>0.505</formula>
    </cfRule>
  </conditionalFormatting>
  <conditionalFormatting sqref="AQ8">
    <cfRule type="cellIs" dxfId="869" priority="38" operator="greaterThan">
      <formula>0.505</formula>
    </cfRule>
  </conditionalFormatting>
  <conditionalFormatting sqref="AQ9">
    <cfRule type="cellIs" dxfId="868" priority="37" operator="greaterThan">
      <formula>0.505</formula>
    </cfRule>
  </conditionalFormatting>
  <conditionalFormatting sqref="AQ11">
    <cfRule type="cellIs" dxfId="867" priority="36" operator="greaterThan">
      <formula>0.505</formula>
    </cfRule>
  </conditionalFormatting>
  <conditionalFormatting sqref="BE6">
    <cfRule type="cellIs" dxfId="866" priority="35" operator="greaterThan">
      <formula>0.505</formula>
    </cfRule>
  </conditionalFormatting>
  <conditionalFormatting sqref="BE7">
    <cfRule type="cellIs" dxfId="865" priority="34" operator="greaterThan">
      <formula>0.505</formula>
    </cfRule>
  </conditionalFormatting>
  <conditionalFormatting sqref="BE8">
    <cfRule type="cellIs" dxfId="864" priority="33" operator="greaterThan">
      <formula>0.505</formula>
    </cfRule>
  </conditionalFormatting>
  <conditionalFormatting sqref="BE9">
    <cfRule type="cellIs" dxfId="863" priority="32" operator="greaterThan">
      <formula>0.505</formula>
    </cfRule>
  </conditionalFormatting>
  <conditionalFormatting sqref="BE11">
    <cfRule type="cellIs" dxfId="862" priority="31" operator="greaterThan">
      <formula>0.505</formula>
    </cfRule>
  </conditionalFormatting>
  <conditionalFormatting sqref="O6">
    <cfRule type="cellIs" dxfId="861" priority="30" operator="greaterThan">
      <formula>0.505</formula>
    </cfRule>
  </conditionalFormatting>
  <conditionalFormatting sqref="O7">
    <cfRule type="cellIs" dxfId="860" priority="29" operator="greaterThan">
      <formula>0.505</formula>
    </cfRule>
  </conditionalFormatting>
  <conditionalFormatting sqref="O8">
    <cfRule type="cellIs" dxfId="859" priority="28" operator="greaterThan">
      <formula>0.505</formula>
    </cfRule>
  </conditionalFormatting>
  <conditionalFormatting sqref="O9">
    <cfRule type="cellIs" dxfId="858" priority="27" operator="greaterThan">
      <formula>0.505</formula>
    </cfRule>
  </conditionalFormatting>
  <conditionalFormatting sqref="O11">
    <cfRule type="cellIs" dxfId="857" priority="26" operator="greaterThan">
      <formula>0.505</formula>
    </cfRule>
  </conditionalFormatting>
  <conditionalFormatting sqref="AL13">
    <cfRule type="cellIs" dxfId="856" priority="25" stopIfTrue="1" operator="between">
      <formula>0</formula>
      <formula>0.375</formula>
    </cfRule>
  </conditionalFormatting>
  <conditionalFormatting sqref="AM13">
    <cfRule type="cellIs" dxfId="855" priority="24" operator="between">
      <formula>0.3751</formula>
      <formula>0.5625</formula>
    </cfRule>
  </conditionalFormatting>
  <conditionalFormatting sqref="AN13">
    <cfRule type="cellIs" dxfId="854" priority="23" operator="between">
      <formula>0.563</formula>
      <formula>0.7125</formula>
    </cfRule>
  </conditionalFormatting>
  <conditionalFormatting sqref="AO13">
    <cfRule type="cellIs" dxfId="853" priority="22" operator="between">
      <formula>0.713</formula>
      <formula>0.75</formula>
    </cfRule>
  </conditionalFormatting>
  <conditionalFormatting sqref="AP13">
    <cfRule type="cellIs" dxfId="852" priority="21" operator="greaterThan">
      <formula>0.755</formula>
    </cfRule>
  </conditionalFormatting>
  <conditionalFormatting sqref="J7:J9">
    <cfRule type="cellIs" dxfId="851" priority="20" stopIfTrue="1" operator="between">
      <formula>0</formula>
      <formula>0.125</formula>
    </cfRule>
  </conditionalFormatting>
  <conditionalFormatting sqref="K7:K9">
    <cfRule type="cellIs" dxfId="850" priority="19" operator="between">
      <formula>0.1251</formula>
      <formula>0.1875</formula>
    </cfRule>
  </conditionalFormatting>
  <conditionalFormatting sqref="L7:L9">
    <cfRule type="cellIs" dxfId="849" priority="18" operator="between">
      <formula>0.1876</formula>
      <formula>0.2375</formula>
    </cfRule>
  </conditionalFormatting>
  <conditionalFormatting sqref="M7:M9">
    <cfRule type="cellIs" dxfId="848" priority="17" operator="between">
      <formula>0.2376</formula>
      <formula>0.25</formula>
    </cfRule>
  </conditionalFormatting>
  <conditionalFormatting sqref="N7:N9">
    <cfRule type="cellIs" dxfId="847" priority="16" operator="greaterThan">
      <formula>0.25</formula>
    </cfRule>
  </conditionalFormatting>
  <conditionalFormatting sqref="J11">
    <cfRule type="cellIs" dxfId="846" priority="15" stopIfTrue="1" operator="between">
      <formula>0</formula>
      <formula>0.125</formula>
    </cfRule>
  </conditionalFormatting>
  <conditionalFormatting sqref="K11">
    <cfRule type="cellIs" dxfId="845" priority="14" operator="between">
      <formula>0.1251</formula>
      <formula>0.1875</formula>
    </cfRule>
  </conditionalFormatting>
  <conditionalFormatting sqref="L11">
    <cfRule type="cellIs" dxfId="844" priority="13" operator="between">
      <formula>0.1876</formula>
      <formula>0.2375</formula>
    </cfRule>
  </conditionalFormatting>
  <conditionalFormatting sqref="M11">
    <cfRule type="cellIs" dxfId="843" priority="12" operator="between">
      <formula>0.2376</formula>
      <formula>0.25</formula>
    </cfRule>
  </conditionalFormatting>
  <conditionalFormatting sqref="N11">
    <cfRule type="cellIs" dxfId="842" priority="11" operator="greaterThan">
      <formula>0.25</formula>
    </cfRule>
  </conditionalFormatting>
  <conditionalFormatting sqref="J13">
    <cfRule type="cellIs" dxfId="841" priority="10" stopIfTrue="1" operator="between">
      <formula>0</formula>
      <formula>0.125</formula>
    </cfRule>
  </conditionalFormatting>
  <conditionalFormatting sqref="K13">
    <cfRule type="cellIs" dxfId="840" priority="9" operator="between">
      <formula>0.1251</formula>
      <formula>0.1875</formula>
    </cfRule>
  </conditionalFormatting>
  <conditionalFormatting sqref="L13">
    <cfRule type="cellIs" dxfId="839" priority="8" operator="between">
      <formula>0.1876</formula>
      <formula>0.2375</formula>
    </cfRule>
  </conditionalFormatting>
  <conditionalFormatting sqref="M13">
    <cfRule type="cellIs" dxfId="838" priority="7" operator="between">
      <formula>0.2376</formula>
      <formula>0.25</formula>
    </cfRule>
  </conditionalFormatting>
  <conditionalFormatting sqref="N13">
    <cfRule type="cellIs" dxfId="837" priority="6" operator="greaterThan">
      <formula>0.25</formula>
    </cfRule>
  </conditionalFormatting>
  <conditionalFormatting sqref="G7">
    <cfRule type="cellIs" dxfId="836" priority="5" operator="between">
      <formula>0.96</formula>
      <formula>1</formula>
    </cfRule>
  </conditionalFormatting>
  <conditionalFormatting sqref="G8">
    <cfRule type="cellIs" dxfId="835" priority="4" operator="between">
      <formula>0.96</formula>
      <formula>1</formula>
    </cfRule>
  </conditionalFormatting>
  <conditionalFormatting sqref="G9">
    <cfRule type="cellIs" dxfId="834" priority="3" operator="between">
      <formula>0.96</formula>
      <formula>1</formula>
    </cfRule>
  </conditionalFormatting>
  <conditionalFormatting sqref="G11">
    <cfRule type="cellIs" dxfId="833" priority="2" operator="between">
      <formula>0.96</formula>
      <formula>1</formula>
    </cfRule>
  </conditionalFormatting>
  <conditionalFormatting sqref="G13">
    <cfRule type="cellIs" dxfId="832"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workbookViewId="0">
      <selection activeCell="T8" sqref="T8"/>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customWidth="1"/>
    <col min="16" max="16" width="17.85546875" customWidth="1"/>
    <col min="17" max="21" width="3.28515625" customWidth="1"/>
    <col min="22" max="22" width="11.7109375" customWidth="1"/>
    <col min="23" max="27" width="3.28515625" customWidth="1"/>
    <col min="28" max="28" width="3.140625" customWidth="1"/>
    <col min="29" max="29" width="11.7109375" hidden="1" customWidth="1"/>
    <col min="30" max="34" width="3.28515625" hidden="1" customWidth="1"/>
    <col min="35" max="35" width="11.7109375" hidden="1" customWidth="1"/>
    <col min="36" max="40" width="3.28515625" hidden="1" customWidth="1"/>
    <col min="41" max="41" width="2.85546875" hidden="1" customWidth="1"/>
    <col min="42" max="42" width="11.7109375" hidden="1" customWidth="1"/>
    <col min="43" max="47" width="3.28515625" hidden="1" customWidth="1"/>
    <col min="48" max="48" width="12.5703125" hidden="1" customWidth="1"/>
    <col min="49" max="53" width="3.28515625" hidden="1" customWidth="1"/>
  </cols>
  <sheetData>
    <row r="1" spans="1:53" ht="25.5" customHeight="1" x14ac:dyDescent="0.25">
      <c r="A1" s="1388"/>
      <c r="B1" s="1362" t="s">
        <v>246</v>
      </c>
      <c r="C1" s="1363"/>
      <c r="D1" s="1363"/>
      <c r="E1" s="1363"/>
      <c r="F1" s="1363"/>
      <c r="G1" s="1363"/>
      <c r="H1" s="1310"/>
      <c r="I1" s="1312" t="s">
        <v>247</v>
      </c>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4"/>
      <c r="AQ1" s="1365"/>
      <c r="AR1" s="1365"/>
      <c r="AS1" s="1365"/>
      <c r="AT1" s="1365"/>
      <c r="AU1" s="1365"/>
      <c r="AV1" s="1365"/>
      <c r="AW1" s="1365"/>
      <c r="AX1" s="1365"/>
      <c r="AY1" s="1365"/>
      <c r="AZ1" s="1365"/>
      <c r="BA1" s="1366"/>
    </row>
    <row r="2" spans="1:53" ht="15" customHeight="1" x14ac:dyDescent="0.25">
      <c r="A2" s="1389"/>
      <c r="B2" s="1373" t="s">
        <v>248</v>
      </c>
      <c r="C2" s="1374"/>
      <c r="D2" s="1374"/>
      <c r="E2" s="1374"/>
      <c r="F2" s="1374"/>
      <c r="G2" s="1374"/>
      <c r="H2" s="1315"/>
      <c r="I2" s="1317" t="s">
        <v>209</v>
      </c>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67"/>
      <c r="AQ2" s="1368"/>
      <c r="AR2" s="1368"/>
      <c r="AS2" s="1368"/>
      <c r="AT2" s="1368"/>
      <c r="AU2" s="1368"/>
      <c r="AV2" s="1368"/>
      <c r="AW2" s="1368"/>
      <c r="AX2" s="1368"/>
      <c r="AY2" s="1368"/>
      <c r="AZ2" s="1368"/>
      <c r="BA2" s="1369"/>
    </row>
    <row r="3" spans="1:53" ht="15.75" customHeight="1" thickBot="1" x14ac:dyDescent="0.3">
      <c r="A3" s="1390"/>
      <c r="B3" s="1375" t="s">
        <v>242</v>
      </c>
      <c r="C3" s="1325"/>
      <c r="D3" s="1325"/>
      <c r="E3" s="1325"/>
      <c r="F3" s="1325"/>
      <c r="G3" s="1325"/>
      <c r="H3" s="1320"/>
      <c r="I3" s="1322" t="s">
        <v>251</v>
      </c>
      <c r="J3" s="1325"/>
      <c r="K3" s="1325"/>
      <c r="L3" s="1325"/>
      <c r="M3" s="1325"/>
      <c r="N3" s="1320"/>
      <c r="O3" s="1376" t="s">
        <v>253</v>
      </c>
      <c r="P3" s="1377"/>
      <c r="Q3" s="1377"/>
      <c r="R3" s="1377"/>
      <c r="S3" s="1377"/>
      <c r="T3" s="1377"/>
      <c r="U3" s="1377"/>
      <c r="V3" s="1377"/>
      <c r="W3" s="1377"/>
      <c r="X3" s="1377"/>
      <c r="Y3" s="1377"/>
      <c r="Z3" s="1377"/>
      <c r="AA3" s="1377"/>
      <c r="AB3" s="1377"/>
      <c r="AC3" s="1377"/>
      <c r="AD3" s="1377"/>
      <c r="AE3" s="1377"/>
      <c r="AF3" s="1377"/>
      <c r="AG3" s="1377"/>
      <c r="AH3" s="1378"/>
      <c r="AI3" s="340" t="s">
        <v>249</v>
      </c>
      <c r="AJ3" s="1322">
        <v>1</v>
      </c>
      <c r="AK3" s="1325"/>
      <c r="AL3" s="1325"/>
      <c r="AM3" s="1325"/>
      <c r="AN3" s="1325"/>
      <c r="AO3" s="1325"/>
      <c r="AP3" s="1370"/>
      <c r="AQ3" s="1371"/>
      <c r="AR3" s="1371"/>
      <c r="AS3" s="1371"/>
      <c r="AT3" s="1371"/>
      <c r="AU3" s="1371"/>
      <c r="AV3" s="1371"/>
      <c r="AW3" s="1371"/>
      <c r="AX3" s="1371"/>
      <c r="AY3" s="1371"/>
      <c r="AZ3" s="1371"/>
      <c r="BA3" s="1372"/>
    </row>
    <row r="4" spans="1:53" ht="15.75" thickBot="1" x14ac:dyDescent="0.3"/>
    <row r="5" spans="1:53" ht="72.75" customHeight="1" thickBot="1" x14ac:dyDescent="0.3">
      <c r="A5" s="371" t="s">
        <v>205</v>
      </c>
      <c r="B5" s="374"/>
      <c r="C5" s="1384" t="s">
        <v>1200</v>
      </c>
      <c r="D5" s="1391"/>
      <c r="E5" s="1391"/>
      <c r="F5" s="1391"/>
      <c r="G5" s="1391"/>
      <c r="H5" s="1392"/>
      <c r="I5" s="1387" t="s">
        <v>1201</v>
      </c>
      <c r="J5" s="1383"/>
      <c r="K5" s="1383"/>
      <c r="L5" s="1383"/>
      <c r="M5" s="1383"/>
      <c r="N5" s="1383"/>
      <c r="P5" s="1384" t="s">
        <v>1203</v>
      </c>
      <c r="Q5" s="1391"/>
      <c r="R5" s="1391"/>
      <c r="S5" s="1391"/>
      <c r="T5" s="1391"/>
      <c r="U5" s="1392"/>
      <c r="V5" s="1387" t="s">
        <v>1204</v>
      </c>
      <c r="W5" s="1383"/>
      <c r="X5" s="1383"/>
      <c r="Y5" s="1383"/>
      <c r="Z5" s="1383"/>
      <c r="AA5" s="1383"/>
      <c r="AB5" s="387"/>
      <c r="AC5" s="1384" t="s">
        <v>1205</v>
      </c>
      <c r="AD5" s="1391"/>
      <c r="AE5" s="1391"/>
      <c r="AF5" s="1391"/>
      <c r="AG5" s="1391"/>
      <c r="AH5" s="1392"/>
      <c r="AI5" s="1387" t="s">
        <v>1206</v>
      </c>
      <c r="AJ5" s="1383"/>
      <c r="AK5" s="1383"/>
      <c r="AL5" s="1383"/>
      <c r="AM5" s="1383"/>
      <c r="AN5" s="1383"/>
      <c r="AO5" s="387"/>
      <c r="AP5" s="1384" t="s">
        <v>1207</v>
      </c>
      <c r="AQ5" s="1391"/>
      <c r="AR5" s="1391"/>
      <c r="AS5" s="1391"/>
      <c r="AT5" s="1391"/>
      <c r="AU5" s="1392"/>
      <c r="AV5" s="1387" t="s">
        <v>1208</v>
      </c>
      <c r="AW5" s="1383"/>
      <c r="AX5" s="1383"/>
      <c r="AY5" s="1383"/>
      <c r="AZ5" s="1383"/>
      <c r="BA5" s="1383"/>
    </row>
    <row r="6" spans="1:53" ht="54" x14ac:dyDescent="0.25">
      <c r="A6" s="439" t="s">
        <v>1224</v>
      </c>
      <c r="B6" s="372"/>
      <c r="C6" s="440">
        <f>AVERAGE('Cuadro Mando Integral Detallado'!L131,'Cuadro Mando Integral Detallado'!L133:L140,'Cuadro Mando Integral Detallado'!L204:L205)</f>
        <v>0.75000171403310667</v>
      </c>
      <c r="D6" s="388">
        <f t="shared" ref="D6:D15" si="0">+C6</f>
        <v>0.75000171403310667</v>
      </c>
      <c r="E6" s="378">
        <f t="shared" ref="E6:E15" si="1">+C6</f>
        <v>0.75000171403310667</v>
      </c>
      <c r="F6" s="378">
        <f t="shared" ref="F6:F15" si="2">+C6</f>
        <v>0.75000171403310667</v>
      </c>
      <c r="G6" s="378">
        <f t="shared" ref="G6:G15" si="3">+C6</f>
        <v>0.75000171403310667</v>
      </c>
      <c r="H6" s="379">
        <f t="shared" ref="H6:H15" si="4">+C6</f>
        <v>0.75000171403310667</v>
      </c>
      <c r="I6" s="539">
        <f>AVERAGE('Cuadro Mando Integral Detallado'!O131,'Cuadro Mando Integral Detallado'!O133:O140,'Cuadro Mando Integral Detallado'!O204:O205)</f>
        <v>0.18750042850827667</v>
      </c>
      <c r="J6" s="381">
        <f t="shared" ref="J6:J15" si="5">+I6</f>
        <v>0.18750042850827667</v>
      </c>
      <c r="K6" s="382">
        <f t="shared" ref="K6:K15" si="6">+I6</f>
        <v>0.18750042850827667</v>
      </c>
      <c r="L6" s="382">
        <f t="shared" ref="L6:L15" si="7">+I6</f>
        <v>0.18750042850827667</v>
      </c>
      <c r="M6" s="382">
        <f t="shared" ref="M6:M15" si="8">+I6</f>
        <v>0.18750042850827667</v>
      </c>
      <c r="N6" s="383">
        <f t="shared" ref="N6:N15" si="9">+I6</f>
        <v>0.18750042850827667</v>
      </c>
      <c r="O6" s="17"/>
      <c r="P6" s="440">
        <f>AVERAGE('Cuadro Mando Integral Detallado'!S131:S140,'Cuadro Mando Integral Detallado'!S204:S205)</f>
        <v>1</v>
      </c>
      <c r="Q6" s="388">
        <f t="shared" ref="Q6:Q15" si="10">+P6</f>
        <v>1</v>
      </c>
      <c r="R6" s="378">
        <f t="shared" ref="R6:R15" si="11">+P6</f>
        <v>1</v>
      </c>
      <c r="S6" s="378">
        <f t="shared" ref="S6:S15" si="12">+P6</f>
        <v>1</v>
      </c>
      <c r="T6" s="378">
        <f t="shared" ref="T6:T15" si="13">+P6</f>
        <v>1</v>
      </c>
      <c r="U6" s="379">
        <f t="shared" ref="U6:U15" si="14">+P6</f>
        <v>1</v>
      </c>
      <c r="V6" s="440">
        <f>AVERAGE('Cuadro Mando Integral Detallado'!V131:V140,'Cuadro Mando Integral Detallado'!V204:V205)</f>
        <v>0.40909122073329213</v>
      </c>
      <c r="W6" s="381">
        <f t="shared" ref="W6:W15" si="15">+V6</f>
        <v>0.40909122073329213</v>
      </c>
      <c r="X6" s="382">
        <f t="shared" ref="X6:X15" si="16">+V6</f>
        <v>0.40909122073329213</v>
      </c>
      <c r="Y6" s="382">
        <f t="shared" ref="Y6:Y15" si="17">+V6</f>
        <v>0.40909122073329213</v>
      </c>
      <c r="Z6" s="382">
        <f>+V6</f>
        <v>0.40909122073329213</v>
      </c>
      <c r="AA6" s="383">
        <f t="shared" ref="AA6:AA15" si="18">+V6</f>
        <v>0.40909122073329213</v>
      </c>
      <c r="AB6" s="432"/>
      <c r="AC6" s="440">
        <f>AVERAGE('Cuadro Mando Integral Detallado'!Z131:Z140,'Cuadro Mando Integral Detallado'!Z204:Z205)</f>
        <v>0</v>
      </c>
      <c r="AD6" s="388">
        <f t="shared" ref="AD6:AD15" si="19">+AC6</f>
        <v>0</v>
      </c>
      <c r="AE6" s="378">
        <f t="shared" ref="AE6:AE15" si="20">+AC6</f>
        <v>0</v>
      </c>
      <c r="AF6" s="378">
        <f t="shared" ref="AF6:AF15" si="21">+AC6</f>
        <v>0</v>
      </c>
      <c r="AG6" s="378">
        <f t="shared" ref="AG6:AG14" si="22">+AC6</f>
        <v>0</v>
      </c>
      <c r="AH6" s="379">
        <f t="shared" ref="AH6:AH15" si="23">+AC6</f>
        <v>0</v>
      </c>
      <c r="AI6" s="440">
        <f>AVERAGE('Cuadro Mando Integral Detallado'!AC131:AC140,'Cuadro Mando Integral Detallado'!AC204:AC205)</f>
        <v>0.40909122073329213</v>
      </c>
      <c r="AJ6" s="388">
        <f t="shared" ref="AJ6:AJ15" si="24">+AI6</f>
        <v>0.40909122073329213</v>
      </c>
      <c r="AK6" s="382">
        <f t="shared" ref="AK6:AK15" si="25">+AI6</f>
        <v>0.40909122073329213</v>
      </c>
      <c r="AL6" s="382">
        <f t="shared" ref="AL6:AL15" si="26">+AI6</f>
        <v>0.40909122073329213</v>
      </c>
      <c r="AM6" s="382">
        <f t="shared" ref="AM6:AM15" si="27">+AI6</f>
        <v>0.40909122073329213</v>
      </c>
      <c r="AN6" s="383">
        <f t="shared" ref="AN6:AN15" si="28">+AI6</f>
        <v>0.40909122073329213</v>
      </c>
      <c r="AO6" s="432"/>
      <c r="AP6" s="440">
        <f>AVERAGE('Cuadro Mando Integral Detallado'!AG131:AG140,'Cuadro Mando Integral Detallado'!AG204:AG205)</f>
        <v>0</v>
      </c>
      <c r="AQ6" s="388">
        <f t="shared" ref="AQ6:AQ15" si="29">+AP6</f>
        <v>0</v>
      </c>
      <c r="AR6" s="378">
        <f t="shared" ref="AR6:AR15" si="30">+AP6</f>
        <v>0</v>
      </c>
      <c r="AS6" s="378">
        <f t="shared" ref="AS6:AS15" si="31">+AP6</f>
        <v>0</v>
      </c>
      <c r="AT6" s="378">
        <f t="shared" ref="AT6:AT15" si="32">+AP6</f>
        <v>0</v>
      </c>
      <c r="AU6" s="379">
        <f t="shared" ref="AU6:AU15" si="33">+AP6</f>
        <v>0</v>
      </c>
      <c r="AV6" s="440">
        <f>AVERAGE('Cuadro Mando Integral Detallado'!AI131:AI140,'Cuadro Mando Integral Detallado'!AI204:AI205)</f>
        <v>0.40909122073329213</v>
      </c>
      <c r="AW6" s="388">
        <f t="shared" ref="AW6:AW15" si="34">+AV6</f>
        <v>0.40909122073329213</v>
      </c>
      <c r="AX6" s="382">
        <f t="shared" ref="AX6:AX15" si="35">+AV6</f>
        <v>0.40909122073329213</v>
      </c>
      <c r="AY6" s="382">
        <f t="shared" ref="AY6:AY15" si="36">+AV6</f>
        <v>0.40909122073329213</v>
      </c>
      <c r="AZ6" s="382">
        <f t="shared" ref="AZ6:AZ15" si="37">+AV6</f>
        <v>0.40909122073329213</v>
      </c>
      <c r="BA6" s="383">
        <f t="shared" ref="BA6:BA15" si="38">+AV6</f>
        <v>0.40909122073329213</v>
      </c>
    </row>
    <row r="7" spans="1:53" ht="54" x14ac:dyDescent="0.25">
      <c r="A7" s="390" t="s">
        <v>1223</v>
      </c>
      <c r="B7" s="372"/>
      <c r="C7" s="441">
        <f>AVERAGE('Cuadro Mando Integral Detallado'!L145:L150,'Cuadro Mando Integral Detallado'!L208:L209)</f>
        <v>0.99784595152257205</v>
      </c>
      <c r="D7" s="535">
        <f t="shared" si="0"/>
        <v>0.99784595152257205</v>
      </c>
      <c r="E7" s="533">
        <f t="shared" si="1"/>
        <v>0.99784595152257205</v>
      </c>
      <c r="F7" s="533">
        <f t="shared" si="2"/>
        <v>0.99784595152257205</v>
      </c>
      <c r="G7" s="393">
        <f t="shared" si="3"/>
        <v>0.99784595152257205</v>
      </c>
      <c r="H7" s="534">
        <f t="shared" si="4"/>
        <v>0.99784595152257205</v>
      </c>
      <c r="I7" s="447">
        <f>AVERAGE('Cuadro Mando Integral Detallado'!O145:O150,'Cuadro Mando Integral Detallado'!O207:O209)</f>
        <v>0.21827880189556265</v>
      </c>
      <c r="J7" s="529">
        <f t="shared" si="5"/>
        <v>0.21827880189556265</v>
      </c>
      <c r="K7" s="530">
        <f t="shared" si="6"/>
        <v>0.21827880189556265</v>
      </c>
      <c r="L7" s="530">
        <f t="shared" si="7"/>
        <v>0.21827880189556265</v>
      </c>
      <c r="M7" s="530">
        <f t="shared" si="8"/>
        <v>0.21827880189556265</v>
      </c>
      <c r="N7" s="531">
        <f t="shared" si="9"/>
        <v>0.21827880189556265</v>
      </c>
      <c r="O7" s="11"/>
      <c r="P7" s="441">
        <f>AVERAGE('Cuadro Mando Integral Detallado'!S145:S150,'Cuadro Mando Integral Detallado'!S207:S209)</f>
        <v>0.99896816037735847</v>
      </c>
      <c r="Q7" s="402">
        <f t="shared" si="10"/>
        <v>0.99896816037735847</v>
      </c>
      <c r="R7" s="393">
        <f t="shared" si="11"/>
        <v>0.99896816037735847</v>
      </c>
      <c r="S7" s="393">
        <f t="shared" si="12"/>
        <v>0.99896816037735847</v>
      </c>
      <c r="T7" s="393">
        <f t="shared" si="13"/>
        <v>0.99896816037735847</v>
      </c>
      <c r="U7" s="394">
        <f t="shared" si="14"/>
        <v>0.99896816037735847</v>
      </c>
      <c r="V7" s="441">
        <f>AVERAGE('Cuadro Mando Integral Detallado'!V145:V150,'Cuadro Mando Integral Detallado'!V207:V209)</f>
        <v>0.42527778547250578</v>
      </c>
      <c r="W7" s="396">
        <f t="shared" si="15"/>
        <v>0.42527778547250578</v>
      </c>
      <c r="X7" s="397">
        <f t="shared" si="16"/>
        <v>0.42527778547250578</v>
      </c>
      <c r="Y7" s="397">
        <f t="shared" si="17"/>
        <v>0.42527778547250578</v>
      </c>
      <c r="Z7" s="397">
        <f>+V7</f>
        <v>0.42527778547250578</v>
      </c>
      <c r="AA7" s="398">
        <f t="shared" si="18"/>
        <v>0.42527778547250578</v>
      </c>
      <c r="AB7" s="432"/>
      <c r="AC7" s="441">
        <f>AVERAGE('Cuadro Mando Integral Detallado'!Z145:Z150,'Cuadro Mando Integral Detallado'!Z207:Z209)</f>
        <v>0</v>
      </c>
      <c r="AD7" s="402">
        <f t="shared" si="19"/>
        <v>0</v>
      </c>
      <c r="AE7" s="393">
        <f t="shared" si="20"/>
        <v>0</v>
      </c>
      <c r="AF7" s="393">
        <f t="shared" si="21"/>
        <v>0</v>
      </c>
      <c r="AG7" s="393">
        <f t="shared" si="22"/>
        <v>0</v>
      </c>
      <c r="AH7" s="394">
        <f t="shared" si="23"/>
        <v>0</v>
      </c>
      <c r="AI7" s="441">
        <f>AVERAGE('Cuadro Mando Integral Detallado'!AC145:AC150,'Cuadro Mando Integral Detallado'!AC207:AC209)</f>
        <v>0.42527778547250578</v>
      </c>
      <c r="AJ7" s="402">
        <f t="shared" si="24"/>
        <v>0.42527778547250578</v>
      </c>
      <c r="AK7" s="397">
        <f t="shared" si="25"/>
        <v>0.42527778547250578</v>
      </c>
      <c r="AL7" s="397">
        <f t="shared" si="26"/>
        <v>0.42527778547250578</v>
      </c>
      <c r="AM7" s="397">
        <f t="shared" si="27"/>
        <v>0.42527778547250578</v>
      </c>
      <c r="AN7" s="398">
        <f t="shared" si="28"/>
        <v>0.42527778547250578</v>
      </c>
      <c r="AO7" s="432"/>
      <c r="AP7" s="441">
        <f>AVERAGE('Cuadro Mando Integral Detallado'!AG145:AG150,'Cuadro Mando Integral Detallado'!AG207:AG209)</f>
        <v>0</v>
      </c>
      <c r="AQ7" s="402">
        <f t="shared" si="29"/>
        <v>0</v>
      </c>
      <c r="AR7" s="393">
        <f t="shared" si="30"/>
        <v>0</v>
      </c>
      <c r="AS7" s="393">
        <f t="shared" si="31"/>
        <v>0</v>
      </c>
      <c r="AT7" s="393">
        <f t="shared" si="32"/>
        <v>0</v>
      </c>
      <c r="AU7" s="394">
        <f t="shared" si="33"/>
        <v>0</v>
      </c>
      <c r="AV7" s="441">
        <f>AVERAGE('Cuadro Mando Integral Detallado'!AI145:AI150,'Cuadro Mando Integral Detallado'!AI207:AI209)</f>
        <v>0.42527778547250578</v>
      </c>
      <c r="AW7" s="402">
        <f t="shared" si="34"/>
        <v>0.42527778547250578</v>
      </c>
      <c r="AX7" s="397">
        <f t="shared" si="35"/>
        <v>0.42527778547250578</v>
      </c>
      <c r="AY7" s="397">
        <f t="shared" si="36"/>
        <v>0.42527778547250578</v>
      </c>
      <c r="AZ7" s="397">
        <f t="shared" si="37"/>
        <v>0.42527778547250578</v>
      </c>
      <c r="BA7" s="398">
        <f t="shared" si="38"/>
        <v>0.42527778547250578</v>
      </c>
    </row>
    <row r="8" spans="1:53" ht="72" x14ac:dyDescent="0.25">
      <c r="A8" s="390" t="s">
        <v>1225</v>
      </c>
      <c r="B8" s="372"/>
      <c r="C8" s="441">
        <f>AVERAGE('Cuadro Mando Integral Detallado'!L141:L144,'Cuadro Mando Integral Detallado'!L206)</f>
        <v>0.99642535533489107</v>
      </c>
      <c r="D8" s="535">
        <f t="shared" si="0"/>
        <v>0.99642535533489107</v>
      </c>
      <c r="E8" s="533">
        <f t="shared" si="1"/>
        <v>0.99642535533489107</v>
      </c>
      <c r="F8" s="533">
        <f t="shared" si="2"/>
        <v>0.99642535533489107</v>
      </c>
      <c r="G8" s="393">
        <f t="shared" si="3"/>
        <v>0.99642535533489107</v>
      </c>
      <c r="H8" s="534">
        <f t="shared" si="4"/>
        <v>0.99642535533489107</v>
      </c>
      <c r="I8" s="447">
        <f>AVERAGE('Cuadro Mando Integral Detallado'!O141:O144,'Cuadro Mando Integral Detallado'!O206)</f>
        <v>0.24910810347079912</v>
      </c>
      <c r="J8" s="396">
        <f t="shared" si="5"/>
        <v>0.24910810347079912</v>
      </c>
      <c r="K8" s="397">
        <f t="shared" si="6"/>
        <v>0.24910810347079912</v>
      </c>
      <c r="L8" s="397">
        <f t="shared" si="7"/>
        <v>0.24910810347079912</v>
      </c>
      <c r="M8" s="397">
        <f t="shared" si="8"/>
        <v>0.24910810347079912</v>
      </c>
      <c r="N8" s="398">
        <f t="shared" si="9"/>
        <v>0.24910810347079912</v>
      </c>
      <c r="O8" s="11"/>
      <c r="P8" s="441">
        <f>AVERAGE('Cuadro Mando Integral Detallado'!S141:S144,'Cuadro Mando Integral Detallado'!S206)</f>
        <v>0.99939782721263659</v>
      </c>
      <c r="Q8" s="402">
        <f t="shared" si="10"/>
        <v>0.99939782721263659</v>
      </c>
      <c r="R8" s="393">
        <f t="shared" si="11"/>
        <v>0.99939782721263659</v>
      </c>
      <c r="S8" s="393">
        <f t="shared" si="12"/>
        <v>0.99939782721263659</v>
      </c>
      <c r="T8" s="393">
        <f t="shared" si="13"/>
        <v>0.99939782721263659</v>
      </c>
      <c r="U8" s="394">
        <f t="shared" si="14"/>
        <v>0.99939782721263659</v>
      </c>
      <c r="V8" s="441">
        <f>AVERAGE('Cuadro Mando Integral Detallado'!V141:V144,'Cuadro Mando Integral Detallado'!V206)</f>
        <v>0.74946900018799223</v>
      </c>
      <c r="W8" s="396">
        <f t="shared" si="15"/>
        <v>0.74946900018799223</v>
      </c>
      <c r="X8" s="397">
        <f t="shared" si="16"/>
        <v>0.74946900018799223</v>
      </c>
      <c r="Y8" s="397">
        <f t="shared" si="17"/>
        <v>0.74946900018799223</v>
      </c>
      <c r="Z8" s="397">
        <f>+V8</f>
        <v>0.74946900018799223</v>
      </c>
      <c r="AA8" s="398">
        <f t="shared" si="18"/>
        <v>0.74946900018799223</v>
      </c>
      <c r="AB8" s="432"/>
      <c r="AC8" s="441">
        <f>AVERAGE('Cuadro Mando Integral Detallado'!Z141:Z144,'Cuadro Mando Integral Detallado'!Z206)</f>
        <v>0</v>
      </c>
      <c r="AD8" s="402">
        <f t="shared" si="19"/>
        <v>0</v>
      </c>
      <c r="AE8" s="393">
        <f t="shared" si="20"/>
        <v>0</v>
      </c>
      <c r="AF8" s="393">
        <f t="shared" si="21"/>
        <v>0</v>
      </c>
      <c r="AG8" s="393">
        <f t="shared" si="22"/>
        <v>0</v>
      </c>
      <c r="AH8" s="394">
        <f t="shared" si="23"/>
        <v>0</v>
      </c>
      <c r="AI8" s="441">
        <f>AVERAGE('Cuadro Mando Integral Detallado'!AC141:AC144,'Cuadro Mando Integral Detallado'!AC206)</f>
        <v>0.74946900018799223</v>
      </c>
      <c r="AJ8" s="402">
        <f t="shared" si="24"/>
        <v>0.74946900018799223</v>
      </c>
      <c r="AK8" s="397">
        <f t="shared" si="25"/>
        <v>0.74946900018799223</v>
      </c>
      <c r="AL8" s="397">
        <f t="shared" si="26"/>
        <v>0.74946900018799223</v>
      </c>
      <c r="AM8" s="397">
        <f t="shared" si="27"/>
        <v>0.74946900018799223</v>
      </c>
      <c r="AN8" s="398">
        <f t="shared" si="28"/>
        <v>0.74946900018799223</v>
      </c>
      <c r="AO8" s="432"/>
      <c r="AP8" s="441">
        <f>AVERAGE('Cuadro Mando Integral Detallado'!AG141:AG144,'Cuadro Mando Integral Detallado'!AG206)</f>
        <v>0</v>
      </c>
      <c r="AQ8" s="402">
        <f t="shared" si="29"/>
        <v>0</v>
      </c>
      <c r="AR8" s="393">
        <f t="shared" si="30"/>
        <v>0</v>
      </c>
      <c r="AS8" s="393">
        <f t="shared" si="31"/>
        <v>0</v>
      </c>
      <c r="AT8" s="393">
        <f t="shared" si="32"/>
        <v>0</v>
      </c>
      <c r="AU8" s="394">
        <f t="shared" si="33"/>
        <v>0</v>
      </c>
      <c r="AV8" s="441">
        <f>AVERAGE('Cuadro Mando Integral Detallado'!AI141:AI144,'Cuadro Mando Integral Detallado'!AI206)</f>
        <v>0.74946900018799223</v>
      </c>
      <c r="AW8" s="402">
        <f t="shared" si="34"/>
        <v>0.74946900018799223</v>
      </c>
      <c r="AX8" s="397">
        <f t="shared" si="35"/>
        <v>0.74946900018799223</v>
      </c>
      <c r="AY8" s="397">
        <f t="shared" si="36"/>
        <v>0.74946900018799223</v>
      </c>
      <c r="AZ8" s="397">
        <f t="shared" si="37"/>
        <v>0.74946900018799223</v>
      </c>
      <c r="BA8" s="398">
        <f t="shared" si="38"/>
        <v>0.74946900018799223</v>
      </c>
    </row>
    <row r="9" spans="1:53" ht="54" x14ac:dyDescent="0.25">
      <c r="A9" s="390" t="s">
        <v>1227</v>
      </c>
      <c r="B9" s="372"/>
      <c r="C9" s="441" t="e">
        <f>AVERAGE('Cuadro Mando Integral Detallado'!L210:L212)</f>
        <v>#DIV/0!</v>
      </c>
      <c r="D9" s="535" t="e">
        <f>+C9</f>
        <v>#DIV/0!</v>
      </c>
      <c r="E9" s="533" t="e">
        <f>+C9</f>
        <v>#DIV/0!</v>
      </c>
      <c r="F9" s="533" t="e">
        <f>+C9</f>
        <v>#DIV/0!</v>
      </c>
      <c r="G9" s="393" t="e">
        <f>+C9</f>
        <v>#DIV/0!</v>
      </c>
      <c r="H9" s="534" t="e">
        <f>+C9</f>
        <v>#DIV/0!</v>
      </c>
      <c r="I9" s="447" t="e">
        <f>AVERAGE('Cuadro Mando Integral Detallado'!O210:O212)</f>
        <v>#DIV/0!</v>
      </c>
      <c r="J9" s="396" t="e">
        <f t="shared" si="5"/>
        <v>#DIV/0!</v>
      </c>
      <c r="K9" s="397" t="e">
        <f t="shared" si="6"/>
        <v>#DIV/0!</v>
      </c>
      <c r="L9" s="397" t="e">
        <f t="shared" si="7"/>
        <v>#DIV/0!</v>
      </c>
      <c r="M9" s="397" t="e">
        <f t="shared" si="8"/>
        <v>#DIV/0!</v>
      </c>
      <c r="N9" s="398" t="e">
        <f t="shared" si="9"/>
        <v>#DIV/0!</v>
      </c>
      <c r="O9" s="11"/>
      <c r="P9" s="441">
        <f>AVERAGE('Cuadro Mando Integral Detallado'!S210:S212)</f>
        <v>0</v>
      </c>
      <c r="Q9" s="402">
        <f t="shared" si="10"/>
        <v>0</v>
      </c>
      <c r="R9" s="393">
        <f>+P9</f>
        <v>0</v>
      </c>
      <c r="S9" s="393">
        <f>+P9</f>
        <v>0</v>
      </c>
      <c r="T9" s="393">
        <f>+P9</f>
        <v>0</v>
      </c>
      <c r="U9" s="394">
        <f>+Q9</f>
        <v>0</v>
      </c>
      <c r="V9" s="441">
        <f>AVERAGE('Cuadro Mando Integral Detallado'!V210:V212)</f>
        <v>0</v>
      </c>
      <c r="W9" s="396">
        <f t="shared" si="15"/>
        <v>0</v>
      </c>
      <c r="X9" s="397">
        <f t="shared" si="16"/>
        <v>0</v>
      </c>
      <c r="Y9" s="397">
        <f t="shared" si="17"/>
        <v>0</v>
      </c>
      <c r="Z9" s="397">
        <f>+V9</f>
        <v>0</v>
      </c>
      <c r="AA9" s="398">
        <f t="shared" si="18"/>
        <v>0</v>
      </c>
      <c r="AB9" s="432"/>
      <c r="AC9" s="441" t="e">
        <f>AVERAGE('Cuadro Mando Integral Detallado'!Z210:Z212)</f>
        <v>#DIV/0!</v>
      </c>
      <c r="AD9" s="402" t="e">
        <f>+AC9</f>
        <v>#DIV/0!</v>
      </c>
      <c r="AE9" s="393" t="e">
        <f>+AC9</f>
        <v>#DIV/0!</v>
      </c>
      <c r="AF9" s="393" t="e">
        <f>+AC9</f>
        <v>#DIV/0!</v>
      </c>
      <c r="AG9" s="393" t="e">
        <f t="shared" si="22"/>
        <v>#DIV/0!</v>
      </c>
      <c r="AH9" s="394" t="e">
        <f>+AC9</f>
        <v>#DIV/0!</v>
      </c>
      <c r="AI9" s="441">
        <f>AVERAGE('Cuadro Mando Integral Detallado'!AC210:AI212)</f>
        <v>0</v>
      </c>
      <c r="AJ9" s="402">
        <f t="shared" si="24"/>
        <v>0</v>
      </c>
      <c r="AK9" s="397">
        <f t="shared" si="25"/>
        <v>0</v>
      </c>
      <c r="AL9" s="397">
        <f t="shared" si="26"/>
        <v>0</v>
      </c>
      <c r="AM9" s="397">
        <f t="shared" si="27"/>
        <v>0</v>
      </c>
      <c r="AN9" s="398">
        <f t="shared" si="28"/>
        <v>0</v>
      </c>
      <c r="AO9" s="432"/>
      <c r="AP9" s="441">
        <f>AVERAGE('Cuadro Mando Integral Detallado'!AG210:AG212)</f>
        <v>0</v>
      </c>
      <c r="AQ9" s="402">
        <f>+AP9</f>
        <v>0</v>
      </c>
      <c r="AR9" s="393">
        <f>+AP9</f>
        <v>0</v>
      </c>
      <c r="AS9" s="393">
        <f>+AP9</f>
        <v>0</v>
      </c>
      <c r="AT9" s="393">
        <f>+AP9</f>
        <v>0</v>
      </c>
      <c r="AU9" s="394">
        <f>+AP9</f>
        <v>0</v>
      </c>
      <c r="AV9" s="441">
        <f>AVERAGE('Cuadro Mando Integral Detallado'!AI210:AI212)</f>
        <v>0</v>
      </c>
      <c r="AW9" s="402">
        <f>+AV9</f>
        <v>0</v>
      </c>
      <c r="AX9" s="397">
        <f>+AV9</f>
        <v>0</v>
      </c>
      <c r="AY9" s="397">
        <f>+AV9</f>
        <v>0</v>
      </c>
      <c r="AZ9" s="397">
        <f>+AV9</f>
        <v>0</v>
      </c>
      <c r="BA9" s="398">
        <f>+AV9</f>
        <v>0</v>
      </c>
    </row>
    <row r="10" spans="1:53" ht="36" x14ac:dyDescent="0.25">
      <c r="A10" s="390" t="s">
        <v>1229</v>
      </c>
      <c r="B10" s="372"/>
      <c r="C10" s="441">
        <f>AVERAGE('Cuadro Mando Integral Detallado'!L152:L155,'Cuadro Mando Integral Detallado'!L213:L215)</f>
        <v>0.48255396856453397</v>
      </c>
      <c r="D10" s="535">
        <f>+C10</f>
        <v>0.48255396856453397</v>
      </c>
      <c r="E10" s="533">
        <f>+C10</f>
        <v>0.48255396856453397</v>
      </c>
      <c r="F10" s="533">
        <f>+C10</f>
        <v>0.48255396856453397</v>
      </c>
      <c r="G10" s="393">
        <f>+C10</f>
        <v>0.48255396856453397</v>
      </c>
      <c r="H10" s="534">
        <f>+C10</f>
        <v>0.48255396856453397</v>
      </c>
      <c r="I10" s="447">
        <f>AVERAGE('Cuadro Mando Integral Detallado'!O152:O155,'Cuadro Mando Integral Detallado'!O213:O215)</f>
        <v>0.21056273456537591</v>
      </c>
      <c r="J10" s="396">
        <f t="shared" si="5"/>
        <v>0.21056273456537591</v>
      </c>
      <c r="K10" s="397">
        <f t="shared" si="6"/>
        <v>0.21056273456537591</v>
      </c>
      <c r="L10" s="397">
        <f t="shared" si="7"/>
        <v>0.21056273456537591</v>
      </c>
      <c r="M10" s="397">
        <f t="shared" si="8"/>
        <v>0.21056273456537591</v>
      </c>
      <c r="N10" s="398">
        <f t="shared" si="9"/>
        <v>0.21056273456537591</v>
      </c>
      <c r="O10" s="11"/>
      <c r="P10" s="441">
        <f>AVERAGE('Cuadro Mando Integral Detallado'!S152:S155,'Cuadro Mando Integral Detallado'!S213:S215)</f>
        <v>1</v>
      </c>
      <c r="Q10" s="402">
        <f t="shared" si="10"/>
        <v>1</v>
      </c>
      <c r="R10" s="393">
        <f>+P10</f>
        <v>1</v>
      </c>
      <c r="S10" s="393">
        <f>+P10</f>
        <v>1</v>
      </c>
      <c r="T10" s="393">
        <f>+P10</f>
        <v>1</v>
      </c>
      <c r="U10" s="394">
        <f>+P10</f>
        <v>1</v>
      </c>
      <c r="V10" s="441">
        <f>AVERAGE('Cuadro Mando Integral Detallado'!V152:V155,'Cuadro Mando Integral Detallado'!V213:V215)</f>
        <v>0.29389606789870926</v>
      </c>
      <c r="W10" s="396">
        <f t="shared" si="15"/>
        <v>0.29389606789870926</v>
      </c>
      <c r="X10" s="397">
        <f t="shared" si="16"/>
        <v>0.29389606789870926</v>
      </c>
      <c r="Y10" s="397">
        <f t="shared" si="17"/>
        <v>0.29389606789870926</v>
      </c>
      <c r="Z10" s="397">
        <f>++V10</f>
        <v>0.29389606789870926</v>
      </c>
      <c r="AA10" s="398">
        <f t="shared" si="18"/>
        <v>0.29389606789870926</v>
      </c>
      <c r="AB10" s="432"/>
      <c r="AC10" s="441">
        <f>AVERAGE('Cuadro Mando Integral Detallado'!Z152:Z155,'Cuadro Mando Integral Detallado'!Z213:Z215)</f>
        <v>0</v>
      </c>
      <c r="AD10" s="402">
        <f>+AC10</f>
        <v>0</v>
      </c>
      <c r="AE10" s="393">
        <f>+AC10</f>
        <v>0</v>
      </c>
      <c r="AF10" s="393">
        <f>+AC10</f>
        <v>0</v>
      </c>
      <c r="AG10" s="393">
        <f t="shared" si="22"/>
        <v>0</v>
      </c>
      <c r="AH10" s="394">
        <f>+AC10</f>
        <v>0</v>
      </c>
      <c r="AI10" s="441">
        <f>AVERAGE('Cuadro Mando Integral Detallado'!AC152:AC155,'Cuadro Mando Integral Detallado'!AC213:AC215)</f>
        <v>0.29389606789870926</v>
      </c>
      <c r="AJ10" s="402">
        <f t="shared" si="24"/>
        <v>0.29389606789870926</v>
      </c>
      <c r="AK10" s="397">
        <f t="shared" si="25"/>
        <v>0.29389606789870926</v>
      </c>
      <c r="AL10" s="397">
        <f t="shared" si="26"/>
        <v>0.29389606789870926</v>
      </c>
      <c r="AM10" s="397">
        <f t="shared" si="27"/>
        <v>0.29389606789870926</v>
      </c>
      <c r="AN10" s="398">
        <f t="shared" si="28"/>
        <v>0.29389606789870926</v>
      </c>
      <c r="AO10" s="432"/>
      <c r="AP10" s="441">
        <f>AVERAGE('Cuadro Mando Integral Detallado'!AG152:AG155,'Cuadro Mando Integral Detallado'!AG213:AG215)</f>
        <v>0</v>
      </c>
      <c r="AQ10" s="402">
        <f>+AP10</f>
        <v>0</v>
      </c>
      <c r="AR10" s="393">
        <f>+AP10</f>
        <v>0</v>
      </c>
      <c r="AS10" s="393">
        <f>+AP10</f>
        <v>0</v>
      </c>
      <c r="AT10" s="393">
        <f>+AP10</f>
        <v>0</v>
      </c>
      <c r="AU10" s="394">
        <f>+AP10</f>
        <v>0</v>
      </c>
      <c r="AV10" s="441">
        <f>AVERAGE('Cuadro Mando Integral Detallado'!AI152:AI155,'Cuadro Mando Integral Detallado'!AI213:AI215)</f>
        <v>0.1259554576708754</v>
      </c>
      <c r="AW10" s="402">
        <f>+AV10</f>
        <v>0.1259554576708754</v>
      </c>
      <c r="AX10" s="397">
        <f>+AV10</f>
        <v>0.1259554576708754</v>
      </c>
      <c r="AY10" s="397">
        <f>+AV10</f>
        <v>0.1259554576708754</v>
      </c>
      <c r="AZ10" s="397">
        <f>+AV10</f>
        <v>0.1259554576708754</v>
      </c>
      <c r="BA10" s="398">
        <f>+AV10</f>
        <v>0.1259554576708754</v>
      </c>
    </row>
    <row r="11" spans="1:53" ht="36" x14ac:dyDescent="0.25">
      <c r="A11" s="390" t="s">
        <v>1228</v>
      </c>
      <c r="B11" s="372"/>
      <c r="C11" s="441">
        <f>AVERAGE('Cuadro Mando Integral Detallado'!L159:L164,'Cuadro Mando Integral Detallado'!L218:L232)</f>
        <v>0.69041476899838627</v>
      </c>
      <c r="D11" s="535">
        <f>+C11</f>
        <v>0.69041476899838627</v>
      </c>
      <c r="E11" s="533">
        <f>+C11</f>
        <v>0.69041476899838627</v>
      </c>
      <c r="F11" s="533">
        <f>+C11</f>
        <v>0.69041476899838627</v>
      </c>
      <c r="G11" s="393">
        <f>+C11</f>
        <v>0.69041476899838627</v>
      </c>
      <c r="H11" s="534">
        <f>+C11</f>
        <v>0.69041476899838627</v>
      </c>
      <c r="I11" s="447">
        <f>AVERAGE('Cuadro Mando Integral Detallado'!O159:O164,'Cuadro Mando Integral Detallado'!O218:O232)</f>
        <v>0.26427035891626327</v>
      </c>
      <c r="J11" s="396">
        <f t="shared" si="5"/>
        <v>0.26427035891626327</v>
      </c>
      <c r="K11" s="397">
        <f t="shared" si="6"/>
        <v>0.26427035891626327</v>
      </c>
      <c r="L11" s="397">
        <f t="shared" si="7"/>
        <v>0.26427035891626327</v>
      </c>
      <c r="M11" s="397">
        <f t="shared" si="8"/>
        <v>0.26427035891626327</v>
      </c>
      <c r="N11" s="398">
        <f t="shared" si="9"/>
        <v>0.26427035891626327</v>
      </c>
      <c r="O11" s="11"/>
      <c r="P11" s="441">
        <f>AVERAGE('Cuadro Mando Integral Detallado'!S159:S164,'Cuadro Mando Integral Detallado'!S218,S220:S232)</f>
        <v>0.92917837649597301</v>
      </c>
      <c r="Q11" s="402">
        <f t="shared" si="10"/>
        <v>0.92917837649597301</v>
      </c>
      <c r="R11" s="393">
        <f>+P11</f>
        <v>0.92917837649597301</v>
      </c>
      <c r="S11" s="393">
        <f>+P11</f>
        <v>0.92917837649597301</v>
      </c>
      <c r="T11" s="393">
        <f>+P11</f>
        <v>0.92917837649597301</v>
      </c>
      <c r="U11" s="394">
        <f>+P11</f>
        <v>0.92917837649597301</v>
      </c>
      <c r="V11" s="441">
        <f>AVERAGE('Cuadro Mando Integral Detallado'!V159:V164,'Cuadro Mando Integral Detallado'!V218:V232)</f>
        <v>0.41706739703273171</v>
      </c>
      <c r="W11" s="396">
        <f t="shared" si="15"/>
        <v>0.41706739703273171</v>
      </c>
      <c r="X11" s="397">
        <f t="shared" si="16"/>
        <v>0.41706739703273171</v>
      </c>
      <c r="Y11" s="397">
        <f t="shared" si="17"/>
        <v>0.41706739703273171</v>
      </c>
      <c r="Z11" s="397">
        <f>++V11</f>
        <v>0.41706739703273171</v>
      </c>
      <c r="AA11" s="398">
        <f t="shared" si="18"/>
        <v>0.41706739703273171</v>
      </c>
      <c r="AB11" s="432"/>
      <c r="AC11" s="441">
        <f>AVERAGE('Cuadro Mando Integral Detallado'!Z159:Z164,'Cuadro Mando Integral Detallado'!Z218:Z232)</f>
        <v>0</v>
      </c>
      <c r="AD11" s="402">
        <f>+AC11</f>
        <v>0</v>
      </c>
      <c r="AE11" s="393">
        <f>+AC11</f>
        <v>0</v>
      </c>
      <c r="AF11" s="393">
        <f>+AC11</f>
        <v>0</v>
      </c>
      <c r="AG11" s="393">
        <f t="shared" si="22"/>
        <v>0</v>
      </c>
      <c r="AH11" s="394">
        <f>+AC11</f>
        <v>0</v>
      </c>
      <c r="AI11" s="441" t="e">
        <f>AVERAGE('Cuadro Mando Integral Detallado'!AC159:AC164,'Cuadro Mando Integral Detallado'!AC218:AC232)</f>
        <v>#VALUE!</v>
      </c>
      <c r="AJ11" s="402" t="e">
        <f t="shared" si="24"/>
        <v>#VALUE!</v>
      </c>
      <c r="AK11" s="397" t="e">
        <f t="shared" si="25"/>
        <v>#VALUE!</v>
      </c>
      <c r="AL11" s="397" t="e">
        <f t="shared" si="26"/>
        <v>#VALUE!</v>
      </c>
      <c r="AM11" s="397" t="e">
        <f t="shared" si="27"/>
        <v>#VALUE!</v>
      </c>
      <c r="AN11" s="398" t="e">
        <f t="shared" si="28"/>
        <v>#VALUE!</v>
      </c>
      <c r="AO11" s="432"/>
      <c r="AP11" s="441">
        <f>AVERAGE('Cuadro Mando Integral Detallado'!AG159:AG164,'Cuadro Mando Integral Detallado'!AG218:AG232)</f>
        <v>0</v>
      </c>
      <c r="AQ11" s="402">
        <f>+AP11</f>
        <v>0</v>
      </c>
      <c r="AR11" s="393">
        <f>+AP11</f>
        <v>0</v>
      </c>
      <c r="AS11" s="393">
        <f>+AP11</f>
        <v>0</v>
      </c>
      <c r="AT11" s="393">
        <f>+AP11</f>
        <v>0</v>
      </c>
      <c r="AU11" s="394">
        <f>+AP11</f>
        <v>0</v>
      </c>
      <c r="AV11" s="441" t="e">
        <f>AVERAGE('Cuadro Mando Integral Detallado'!AI159:AI164,'Cuadro Mando Integral Detallado'!AI218:AI232)</f>
        <v>#VALUE!</v>
      </c>
      <c r="AW11" s="402" t="e">
        <f>+AV11</f>
        <v>#VALUE!</v>
      </c>
      <c r="AX11" s="397" t="e">
        <f>+AV11</f>
        <v>#VALUE!</v>
      </c>
      <c r="AY11" s="397" t="e">
        <f>+AV11</f>
        <v>#VALUE!</v>
      </c>
      <c r="AZ11" s="397" t="e">
        <f>+AV11</f>
        <v>#VALUE!</v>
      </c>
      <c r="BA11" s="398" t="e">
        <f>+AV11</f>
        <v>#VALUE!</v>
      </c>
    </row>
    <row r="12" spans="1:53" ht="54" x14ac:dyDescent="0.25">
      <c r="A12" s="390" t="s">
        <v>1230</v>
      </c>
      <c r="B12" s="372"/>
      <c r="C12" s="441">
        <f>AVERAGE('Cuadro Mando Integral Detallado'!L152:L155,'Cuadro Mando Integral Detallado'!L159:L164,'Cuadro Mando Integral Detallado'!L210:L215,'Cuadro Mando Integral Detallado'!L218:L232)</f>
        <v>0.66072036893640718</v>
      </c>
      <c r="D12" s="535">
        <f>+C12</f>
        <v>0.66072036893640718</v>
      </c>
      <c r="E12" s="533">
        <f>+C12</f>
        <v>0.66072036893640718</v>
      </c>
      <c r="F12" s="533">
        <f>+C12</f>
        <v>0.66072036893640718</v>
      </c>
      <c r="G12" s="393">
        <f>+C12</f>
        <v>0.66072036893640718</v>
      </c>
      <c r="H12" s="534">
        <f>+C12</f>
        <v>0.66072036893640718</v>
      </c>
      <c r="I12" s="447">
        <f>AVERAGE('Cuadro Mando Integral Detallado'!O152:O155,'Cuadro Mando Integral Detallado'!O159:O164,'Cuadro Mando Integral Detallado'!O210:O215,'Cuadro Mando Integral Detallado'!O218:O232)</f>
        <v>0.25659784115185075</v>
      </c>
      <c r="J12" s="396">
        <f t="shared" si="5"/>
        <v>0.25659784115185075</v>
      </c>
      <c r="K12" s="397">
        <f t="shared" si="6"/>
        <v>0.25659784115185075</v>
      </c>
      <c r="L12" s="397">
        <f t="shared" si="7"/>
        <v>0.25659784115185075</v>
      </c>
      <c r="M12" s="397">
        <f t="shared" si="8"/>
        <v>0.25659784115185075</v>
      </c>
      <c r="N12" s="398">
        <f t="shared" si="9"/>
        <v>0.25659784115185075</v>
      </c>
      <c r="O12" s="11"/>
      <c r="P12" s="441">
        <f>AVERAGE('Cuadro Mando Integral Detallado'!S152:S155,'Cuadro Mando Integral Detallado'!S159:S164,'Cuadro Mando Integral Detallado'!S210:S215,'Cuadro Mando Integral Detallado'!S218,S220:S232)</f>
        <v>0.80655598321140931</v>
      </c>
      <c r="Q12" s="402">
        <f t="shared" si="10"/>
        <v>0.80655598321140931</v>
      </c>
      <c r="R12" s="393">
        <f>+P12</f>
        <v>0.80655598321140931</v>
      </c>
      <c r="S12" s="393">
        <f>+P12</f>
        <v>0.80655598321140931</v>
      </c>
      <c r="T12" s="393">
        <f>+P12</f>
        <v>0.80655598321140931</v>
      </c>
      <c r="U12" s="394">
        <f>+P12</f>
        <v>0.80655598321140931</v>
      </c>
      <c r="V12" s="441">
        <f>AVERAGE('Cuadro Mando Integral Detallado'!V152:V155,'Cuadro Mando Integral Detallado'!V159:V164,'Cuadro Mando Integral Detallado'!V210:V215,'Cuadro Mando Integral Detallado'!V218:V232)</f>
        <v>0.38429317268128171</v>
      </c>
      <c r="W12" s="396">
        <f t="shared" si="15"/>
        <v>0.38429317268128171</v>
      </c>
      <c r="X12" s="397">
        <f t="shared" si="16"/>
        <v>0.38429317268128171</v>
      </c>
      <c r="Y12" s="397">
        <f t="shared" si="17"/>
        <v>0.38429317268128171</v>
      </c>
      <c r="Z12" s="397">
        <f>++V12</f>
        <v>0.38429317268128171</v>
      </c>
      <c r="AA12" s="398">
        <f t="shared" si="18"/>
        <v>0.38429317268128171</v>
      </c>
      <c r="AB12" s="432"/>
      <c r="AC12" s="441">
        <f>AVERAGE('Cuadro Mando Integral Detallado'!Z152:Z155,'Cuadro Mando Integral Detallado'!Z159:Z164,'Cuadro Mando Integral Detallado'!Z210:Z215,'Cuadro Mando Integral Detallado'!Z218:Z232)</f>
        <v>0</v>
      </c>
      <c r="AD12" s="402">
        <f>+AC12</f>
        <v>0</v>
      </c>
      <c r="AE12" s="393">
        <f>+AC12</f>
        <v>0</v>
      </c>
      <c r="AF12" s="393">
        <f>+AC12</f>
        <v>0</v>
      </c>
      <c r="AG12" s="393">
        <f t="shared" si="22"/>
        <v>0</v>
      </c>
      <c r="AH12" s="394">
        <f>+AC12</f>
        <v>0</v>
      </c>
      <c r="AI12" s="441" t="e">
        <f>AVERAGE('Cuadro Mando Integral Detallado'!AC152:AC155,'Cuadro Mando Integral Detallado'!AC159:AC164,'Cuadro Mando Integral Detallado'!AC210:AC215,'Cuadro Mando Integral Detallado'!AC218:AC232)</f>
        <v>#VALUE!</v>
      </c>
      <c r="AJ12" s="402" t="e">
        <f t="shared" si="24"/>
        <v>#VALUE!</v>
      </c>
      <c r="AK12" s="397" t="e">
        <f t="shared" si="25"/>
        <v>#VALUE!</v>
      </c>
      <c r="AL12" s="397" t="e">
        <f t="shared" si="26"/>
        <v>#VALUE!</v>
      </c>
      <c r="AM12" s="397" t="e">
        <f t="shared" si="27"/>
        <v>#VALUE!</v>
      </c>
      <c r="AN12" s="398" t="e">
        <f t="shared" si="28"/>
        <v>#VALUE!</v>
      </c>
      <c r="AO12" s="432"/>
      <c r="AP12" s="441">
        <f>AVERAGE('Cuadro Mando Integral Detallado'!AG152:AG155,'Cuadro Mando Integral Detallado'!AG159:AG164,'Cuadro Mando Integral Detallado'!AG210:AG215,'Cuadro Mando Integral Detallado'!AG218:AG232)</f>
        <v>0</v>
      </c>
      <c r="AQ12" s="402">
        <f>+AP12</f>
        <v>0</v>
      </c>
      <c r="AR12" s="393">
        <f>+AP12</f>
        <v>0</v>
      </c>
      <c r="AS12" s="393">
        <f>+AP12</f>
        <v>0</v>
      </c>
      <c r="AT12" s="393">
        <f>+AP12</f>
        <v>0</v>
      </c>
      <c r="AU12" s="394">
        <f>+AP12</f>
        <v>0</v>
      </c>
      <c r="AV12" s="441" t="e">
        <f>AVERAGE('Cuadro Mando Integral Detallado'!AI152:AI155,'Cuadro Mando Integral Detallado'!AI159:AI164,'Cuadro Mando Integral Detallado'!AI210:AI215,'Cuadro Mando Integral Detallado'!AI218:AI232)</f>
        <v>#VALUE!</v>
      </c>
      <c r="AW12" s="402" t="e">
        <f>+AV12</f>
        <v>#VALUE!</v>
      </c>
      <c r="AX12" s="397" t="e">
        <f>+AV12</f>
        <v>#VALUE!</v>
      </c>
      <c r="AY12" s="397" t="e">
        <f>+AV12</f>
        <v>#VALUE!</v>
      </c>
      <c r="AZ12" s="397" t="e">
        <f>+AV12</f>
        <v>#VALUE!</v>
      </c>
      <c r="BA12" s="398" t="e">
        <f>+AV12</f>
        <v>#VALUE!</v>
      </c>
    </row>
    <row r="13" spans="1:53" ht="90" x14ac:dyDescent="0.25">
      <c r="A13" s="390" t="s">
        <v>1226</v>
      </c>
      <c r="B13" s="372"/>
      <c r="C13" s="441">
        <f>'Cuadro Mando Integral Detallado'!L151</f>
        <v>1</v>
      </c>
      <c r="D13" s="535">
        <f t="shared" si="0"/>
        <v>1</v>
      </c>
      <c r="E13" s="533">
        <f t="shared" si="1"/>
        <v>1</v>
      </c>
      <c r="F13" s="533">
        <f t="shared" si="2"/>
        <v>1</v>
      </c>
      <c r="G13" s="393">
        <f t="shared" si="3"/>
        <v>1</v>
      </c>
      <c r="H13" s="534">
        <f t="shared" si="4"/>
        <v>1</v>
      </c>
      <c r="I13" s="447">
        <f>'Cuadro Mando Integral Detallado'!O151</f>
        <v>0.25</v>
      </c>
      <c r="J13" s="396">
        <f t="shared" si="5"/>
        <v>0.25</v>
      </c>
      <c r="K13" s="397">
        <f t="shared" si="6"/>
        <v>0.25</v>
      </c>
      <c r="L13" s="397">
        <f t="shared" si="7"/>
        <v>0.25</v>
      </c>
      <c r="M13" s="397">
        <f t="shared" si="8"/>
        <v>0.25</v>
      </c>
      <c r="N13" s="398">
        <f t="shared" si="9"/>
        <v>0.25</v>
      </c>
      <c r="O13" s="11"/>
      <c r="P13" s="441">
        <f>'Cuadro Mando Integral Detallado'!S151</f>
        <v>1</v>
      </c>
      <c r="Q13" s="402">
        <f t="shared" si="10"/>
        <v>1</v>
      </c>
      <c r="R13" s="393">
        <f t="shared" si="11"/>
        <v>1</v>
      </c>
      <c r="S13" s="393">
        <f t="shared" si="12"/>
        <v>1</v>
      </c>
      <c r="T13" s="393">
        <f t="shared" si="13"/>
        <v>1</v>
      </c>
      <c r="U13" s="394">
        <f t="shared" si="14"/>
        <v>1</v>
      </c>
      <c r="V13" s="441">
        <f>'Cuadro Mando Integral Detallado'!V151</f>
        <v>0.5</v>
      </c>
      <c r="W13" s="396">
        <f t="shared" si="15"/>
        <v>0.5</v>
      </c>
      <c r="X13" s="397">
        <f t="shared" si="16"/>
        <v>0.5</v>
      </c>
      <c r="Y13" s="397">
        <f t="shared" si="17"/>
        <v>0.5</v>
      </c>
      <c r="Z13" s="397">
        <f>+V13</f>
        <v>0.5</v>
      </c>
      <c r="AA13" s="398">
        <f t="shared" si="18"/>
        <v>0.5</v>
      </c>
      <c r="AB13" s="432"/>
      <c r="AC13" s="441">
        <f>'Cuadro Mando Integral Detallado'!Z151</f>
        <v>0</v>
      </c>
      <c r="AD13" s="402">
        <f t="shared" si="19"/>
        <v>0</v>
      </c>
      <c r="AE13" s="393">
        <f t="shared" si="20"/>
        <v>0</v>
      </c>
      <c r="AF13" s="393">
        <f t="shared" si="21"/>
        <v>0</v>
      </c>
      <c r="AG13" s="393">
        <f t="shared" si="22"/>
        <v>0</v>
      </c>
      <c r="AH13" s="394">
        <f t="shared" si="23"/>
        <v>0</v>
      </c>
      <c r="AI13" s="441">
        <f>'Cuadro Mando Integral Detallado'!AC151</f>
        <v>0.5</v>
      </c>
      <c r="AJ13" s="402">
        <f t="shared" si="24"/>
        <v>0.5</v>
      </c>
      <c r="AK13" s="397">
        <f t="shared" si="25"/>
        <v>0.5</v>
      </c>
      <c r="AL13" s="397">
        <f t="shared" si="26"/>
        <v>0.5</v>
      </c>
      <c r="AM13" s="397">
        <f t="shared" si="27"/>
        <v>0.5</v>
      </c>
      <c r="AN13" s="398">
        <f t="shared" si="28"/>
        <v>0.5</v>
      </c>
      <c r="AO13" s="432"/>
      <c r="AP13" s="441">
        <f>'Cuadro Mando Integral Detallado'!AG151</f>
        <v>0</v>
      </c>
      <c r="AQ13" s="402">
        <f>+AP13</f>
        <v>0</v>
      </c>
      <c r="AR13" s="393">
        <f>+AP13</f>
        <v>0</v>
      </c>
      <c r="AS13" s="393">
        <f>+AP13</f>
        <v>0</v>
      </c>
      <c r="AT13" s="393">
        <f>+AP13</f>
        <v>0</v>
      </c>
      <c r="AU13" s="394">
        <f>+AP13</f>
        <v>0</v>
      </c>
      <c r="AV13" s="441">
        <f>'Cuadro Mando Integral Detallado'!AI151</f>
        <v>0.5</v>
      </c>
      <c r="AW13" s="402">
        <f>+AV13</f>
        <v>0.5</v>
      </c>
      <c r="AX13" s="397">
        <f>+AV13</f>
        <v>0.5</v>
      </c>
      <c r="AY13" s="397">
        <f>+AV13</f>
        <v>0.5</v>
      </c>
      <c r="AZ13" s="397">
        <f>+AV13</f>
        <v>0.5</v>
      </c>
      <c r="BA13" s="398">
        <f>+AV13</f>
        <v>0.5</v>
      </c>
    </row>
    <row r="14" spans="1:53" ht="54" x14ac:dyDescent="0.25">
      <c r="A14" s="390" t="s">
        <v>1211</v>
      </c>
      <c r="B14" s="372"/>
      <c r="C14" s="441">
        <f>AVERAGE('Cuadro Mando Integral Detallado'!L156:L158,'Cuadro Mando Integral Detallado'!L216:L217)</f>
        <v>0.99987501698138848</v>
      </c>
      <c r="D14" s="535">
        <f t="shared" si="0"/>
        <v>0.99987501698138848</v>
      </c>
      <c r="E14" s="533">
        <f t="shared" si="1"/>
        <v>0.99987501698138848</v>
      </c>
      <c r="F14" s="533">
        <f t="shared" si="2"/>
        <v>0.99987501698138848</v>
      </c>
      <c r="G14" s="393">
        <f t="shared" si="3"/>
        <v>0.99987501698138848</v>
      </c>
      <c r="H14" s="534">
        <f t="shared" si="4"/>
        <v>0.99987501698138848</v>
      </c>
      <c r="I14" s="447">
        <f>AVERAGE('Cuadro Mando Integral Detallado'!O156:O158,'Cuadro Mando Integral Detallado'!O216:O217)</f>
        <v>0.24996875424534712</v>
      </c>
      <c r="J14" s="396">
        <f t="shared" si="5"/>
        <v>0.24996875424534712</v>
      </c>
      <c r="K14" s="397">
        <f t="shared" si="6"/>
        <v>0.24996875424534712</v>
      </c>
      <c r="L14" s="397">
        <f t="shared" si="7"/>
        <v>0.24996875424534712</v>
      </c>
      <c r="M14" s="397">
        <f t="shared" si="8"/>
        <v>0.24996875424534712</v>
      </c>
      <c r="N14" s="398">
        <f t="shared" si="9"/>
        <v>0.24996875424534712</v>
      </c>
      <c r="O14" s="11"/>
      <c r="P14" s="441">
        <f>AVERAGE('Cuadro Mando Integral Detallado'!S156:S158,'Cuadro Mando Integral Detallado'!S216:S217)</f>
        <v>0.99995922735844256</v>
      </c>
      <c r="Q14" s="402">
        <f t="shared" si="10"/>
        <v>0.99995922735844256</v>
      </c>
      <c r="R14" s="393">
        <f t="shared" si="11"/>
        <v>0.99995922735844256</v>
      </c>
      <c r="S14" s="393">
        <f t="shared" si="12"/>
        <v>0.99995922735844256</v>
      </c>
      <c r="T14" s="393">
        <f t="shared" si="13"/>
        <v>0.99995922735844256</v>
      </c>
      <c r="U14" s="394">
        <f t="shared" si="14"/>
        <v>0.99995922735844256</v>
      </c>
      <c r="V14" s="441">
        <f>AVERAGE('Cuadro Mando Integral Detallado'!V156:V158,'Cuadro Mando Integral Detallado'!V216:V217)</f>
        <v>0.49995856108495768</v>
      </c>
      <c r="W14" s="396">
        <f t="shared" si="15"/>
        <v>0.49995856108495768</v>
      </c>
      <c r="X14" s="397">
        <f t="shared" si="16"/>
        <v>0.49995856108495768</v>
      </c>
      <c r="Y14" s="397">
        <f t="shared" si="17"/>
        <v>0.49995856108495768</v>
      </c>
      <c r="Z14" s="397">
        <f>+V14</f>
        <v>0.49995856108495768</v>
      </c>
      <c r="AA14" s="398">
        <f t="shared" si="18"/>
        <v>0.49995856108495768</v>
      </c>
      <c r="AB14" s="432"/>
      <c r="AC14" s="441">
        <f>AVERAGE('Cuadro Mando Integral Detallado'!Z156:Z158,'Cuadro Mando Integral Detallado'!Z216:Z217)</f>
        <v>0</v>
      </c>
      <c r="AD14" s="402">
        <f t="shared" si="19"/>
        <v>0</v>
      </c>
      <c r="AE14" s="393">
        <f t="shared" si="20"/>
        <v>0</v>
      </c>
      <c r="AF14" s="393">
        <f t="shared" si="21"/>
        <v>0</v>
      </c>
      <c r="AG14" s="393">
        <f t="shared" si="22"/>
        <v>0</v>
      </c>
      <c r="AH14" s="394">
        <f t="shared" si="23"/>
        <v>0</v>
      </c>
      <c r="AI14" s="441">
        <f>AVERAGE('Cuadro Mando Integral Detallado'!AC156:AC158,'Cuadro Mando Integral Detallado'!AC216:AC217)</f>
        <v>0.49995856108495768</v>
      </c>
      <c r="AJ14" s="402">
        <f t="shared" si="24"/>
        <v>0.49995856108495768</v>
      </c>
      <c r="AK14" s="397">
        <f t="shared" si="25"/>
        <v>0.49995856108495768</v>
      </c>
      <c r="AL14" s="397">
        <f t="shared" si="26"/>
        <v>0.49995856108495768</v>
      </c>
      <c r="AM14" s="397">
        <f t="shared" si="27"/>
        <v>0.49995856108495768</v>
      </c>
      <c r="AN14" s="398">
        <f t="shared" si="28"/>
        <v>0.49995856108495768</v>
      </c>
      <c r="AO14" s="432"/>
      <c r="AP14" s="441">
        <f>AVERAGE('Cuadro Mando Integral Detallado'!AG156:AG158,'Cuadro Mando Integral Detallado'!AG216:AG217)</f>
        <v>0</v>
      </c>
      <c r="AQ14" s="402">
        <f t="shared" si="29"/>
        <v>0</v>
      </c>
      <c r="AR14" s="393">
        <f t="shared" si="30"/>
        <v>0</v>
      </c>
      <c r="AS14" s="393">
        <f t="shared" si="31"/>
        <v>0</v>
      </c>
      <c r="AT14" s="393">
        <f t="shared" si="32"/>
        <v>0</v>
      </c>
      <c r="AU14" s="394">
        <f t="shared" si="33"/>
        <v>0</v>
      </c>
      <c r="AV14" s="441">
        <f>AVERAGE('Cuadro Mando Integral Detallado'!AI156:AI158,'Cuadro Mando Integral Detallado'!AI216:AI217)</f>
        <v>0.49995856108495768</v>
      </c>
      <c r="AW14" s="402">
        <f t="shared" si="34"/>
        <v>0.49995856108495768</v>
      </c>
      <c r="AX14" s="397">
        <f t="shared" si="35"/>
        <v>0.49995856108495768</v>
      </c>
      <c r="AY14" s="397">
        <f t="shared" si="36"/>
        <v>0.49995856108495768</v>
      </c>
      <c r="AZ14" s="397">
        <f t="shared" si="37"/>
        <v>0.49995856108495768</v>
      </c>
      <c r="BA14" s="398">
        <f t="shared" si="38"/>
        <v>0.49995856108495768</v>
      </c>
    </row>
    <row r="15" spans="1:53" ht="18.75" thickBot="1" x14ac:dyDescent="0.3">
      <c r="A15" s="439" t="s">
        <v>1210</v>
      </c>
      <c r="B15" s="372"/>
      <c r="C15" s="442">
        <f>AVERAGE('Cuadro Mando Integral Detallado'!L165:L202,'Cuadro Mando Integral Detallado'!L233:L303,'Cuadro Mando Integral Detallado'!L305:L359)</f>
        <v>0.83268905377339797</v>
      </c>
      <c r="D15" s="536">
        <f t="shared" si="0"/>
        <v>0.83268905377339797</v>
      </c>
      <c r="E15" s="537">
        <f t="shared" si="1"/>
        <v>0.83268905377339797</v>
      </c>
      <c r="F15" s="537">
        <f t="shared" si="2"/>
        <v>0.83268905377339797</v>
      </c>
      <c r="G15" s="407">
        <f t="shared" si="3"/>
        <v>0.83268905377339797</v>
      </c>
      <c r="H15" s="538">
        <f t="shared" si="4"/>
        <v>0.83268905377339797</v>
      </c>
      <c r="I15" s="442">
        <f>AVERAGE('Cuadro Mando Integral Detallado'!O165:O202,'Cuadro Mando Integral Detallado'!O233:O303,'Cuadro Mando Integral Detallado'!O305:O359)</f>
        <v>0.41836055609736666</v>
      </c>
      <c r="J15" s="410">
        <f t="shared" si="5"/>
        <v>0.41836055609736666</v>
      </c>
      <c r="K15" s="411">
        <f t="shared" si="6"/>
        <v>0.41836055609736666</v>
      </c>
      <c r="L15" s="411">
        <f t="shared" si="7"/>
        <v>0.41836055609736666</v>
      </c>
      <c r="M15" s="411">
        <f t="shared" si="8"/>
        <v>0.41836055609736666</v>
      </c>
      <c r="N15" s="412">
        <f t="shared" si="9"/>
        <v>0.41836055609736666</v>
      </c>
      <c r="O15" s="11"/>
      <c r="P15" s="442">
        <f>AVERAGE('Cuadro Mando Integral Detallado'!S165:S202,'Cuadro Mando Integral Detallado'!S233:S303,'Cuadro Mando Integral Detallado'!S305:S359)</f>
        <v>0.85733615420316189</v>
      </c>
      <c r="Q15" s="416">
        <f t="shared" si="10"/>
        <v>0.85733615420316189</v>
      </c>
      <c r="R15" s="407">
        <f t="shared" si="11"/>
        <v>0.85733615420316189</v>
      </c>
      <c r="S15" s="407">
        <f t="shared" si="12"/>
        <v>0.85733615420316189</v>
      </c>
      <c r="T15" s="407">
        <f t="shared" si="13"/>
        <v>0.85733615420316189</v>
      </c>
      <c r="U15" s="408">
        <f t="shared" si="14"/>
        <v>0.85733615420316189</v>
      </c>
      <c r="V15" s="442">
        <f>AVERAGE('Cuadro Mando Integral Detallado'!V165:V202,'Cuadro Mando Integral Detallado'!V233:V303,'Cuadro Mando Integral Detallado'!V305:V359)</f>
        <v>0.48603048048750797</v>
      </c>
      <c r="W15" s="410">
        <f t="shared" si="15"/>
        <v>0.48603048048750797</v>
      </c>
      <c r="X15" s="411">
        <f t="shared" si="16"/>
        <v>0.48603048048750797</v>
      </c>
      <c r="Y15" s="411">
        <f t="shared" si="17"/>
        <v>0.48603048048750797</v>
      </c>
      <c r="Z15" s="411">
        <f>+V15</f>
        <v>0.48603048048750797</v>
      </c>
      <c r="AA15" s="412">
        <f t="shared" si="18"/>
        <v>0.48603048048750797</v>
      </c>
      <c r="AB15" s="432"/>
      <c r="AC15" s="442">
        <f>AVERAGE('Cuadro Mando Integral Detallado'!Z165:Z201,'Cuadro Mando Integral Detallado'!Z233:Z303,'Cuadro Mando Integral Detallado'!Z305:Z359)</f>
        <v>0</v>
      </c>
      <c r="AD15" s="416">
        <f t="shared" si="19"/>
        <v>0</v>
      </c>
      <c r="AE15" s="407">
        <f t="shared" si="20"/>
        <v>0</v>
      </c>
      <c r="AF15" s="407">
        <f t="shared" si="21"/>
        <v>0</v>
      </c>
      <c r="AG15" s="407">
        <f>+AB15</f>
        <v>0</v>
      </c>
      <c r="AH15" s="408">
        <f t="shared" si="23"/>
        <v>0</v>
      </c>
      <c r="AI15" s="442" t="e">
        <f>AVERAGE('Cuadro Mando Integral Detallado'!AC165:AC201,'Cuadro Mando Integral Detallado'!AC233:AC303,'Cuadro Mando Integral Detallado'!AC305:AC359)</f>
        <v>#VALUE!</v>
      </c>
      <c r="AJ15" s="416" t="e">
        <f t="shared" si="24"/>
        <v>#VALUE!</v>
      </c>
      <c r="AK15" s="411" t="e">
        <f t="shared" si="25"/>
        <v>#VALUE!</v>
      </c>
      <c r="AL15" s="411" t="e">
        <f t="shared" si="26"/>
        <v>#VALUE!</v>
      </c>
      <c r="AM15" s="411" t="e">
        <f t="shared" si="27"/>
        <v>#VALUE!</v>
      </c>
      <c r="AN15" s="412" t="e">
        <f t="shared" si="28"/>
        <v>#VALUE!</v>
      </c>
      <c r="AO15" s="432"/>
      <c r="AP15" s="442">
        <f>AVERAGE('Cuadro Mando Integral Detallado'!AG165:AG201,'Cuadro Mando Integral Detallado'!AG233:AG303,'Cuadro Mando Integral Detallado'!AG305:AG359)</f>
        <v>1.4925373134328358E-2</v>
      </c>
      <c r="AQ15" s="416">
        <f t="shared" si="29"/>
        <v>1.4925373134328358E-2</v>
      </c>
      <c r="AR15" s="407">
        <f t="shared" si="30"/>
        <v>1.4925373134328358E-2</v>
      </c>
      <c r="AS15" s="407">
        <f t="shared" si="31"/>
        <v>1.4925373134328358E-2</v>
      </c>
      <c r="AT15" s="407">
        <f t="shared" si="32"/>
        <v>1.4925373134328358E-2</v>
      </c>
      <c r="AU15" s="408">
        <f t="shared" si="33"/>
        <v>1.4925373134328358E-2</v>
      </c>
      <c r="AV15" s="442" t="e">
        <f>AVERAGE('Cuadro Mando Integral Detallado'!AI165:AI201,'Cuadro Mando Integral Detallado'!AI233:AI303,'Cuadro Mando Integral Detallado'!AI305:AI359)</f>
        <v>#VALUE!</v>
      </c>
      <c r="AW15" s="416" t="e">
        <f t="shared" si="34"/>
        <v>#VALUE!</v>
      </c>
      <c r="AX15" s="411" t="e">
        <f t="shared" si="35"/>
        <v>#VALUE!</v>
      </c>
      <c r="AY15" s="411" t="e">
        <f t="shared" si="36"/>
        <v>#VALUE!</v>
      </c>
      <c r="AZ15" s="411" t="e">
        <f t="shared" si="37"/>
        <v>#VALUE!</v>
      </c>
      <c r="BA15" s="412" t="e">
        <f t="shared" si="38"/>
        <v>#VALUE!</v>
      </c>
    </row>
  </sheetData>
  <sheetProtection algorithmName="SHA-512" hashValue="WDJZ12D8lD7yCcQo1UA9UgaALes0V7E4xoSS36Ix7u3xh+kcOZIHybbV3TG2jk7vRx8WrORa5+l9Grbchg+OEA==" saltValue="Zh0LHDnNfI1FumM3hRPfFw=="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831" priority="260" stopIfTrue="1" operator="between">
      <formula>0</formula>
      <formula>0.5</formula>
    </cfRule>
  </conditionalFormatting>
  <conditionalFormatting sqref="R6">
    <cfRule type="cellIs" dxfId="830" priority="259" operator="between">
      <formula>0.51</formula>
      <formula>0.75</formula>
    </cfRule>
  </conditionalFormatting>
  <conditionalFormatting sqref="S6">
    <cfRule type="cellIs" dxfId="829" priority="258" operator="between">
      <formula>0.76</formula>
      <formula>0.95</formula>
    </cfRule>
  </conditionalFormatting>
  <conditionalFormatting sqref="T6">
    <cfRule type="cellIs" dxfId="828" priority="257" operator="between">
      <formula>0.95</formula>
      <formula>1</formula>
    </cfRule>
  </conditionalFormatting>
  <conditionalFormatting sqref="U6">
    <cfRule type="cellIs" dxfId="827" priority="256" operator="greaterThan">
      <formula>1</formula>
    </cfRule>
  </conditionalFormatting>
  <conditionalFormatting sqref="Q7">
    <cfRule type="cellIs" dxfId="826" priority="255" stopIfTrue="1" operator="between">
      <formula>0</formula>
      <formula>0.5</formula>
    </cfRule>
  </conditionalFormatting>
  <conditionalFormatting sqref="R7">
    <cfRule type="cellIs" dxfId="825" priority="254" operator="between">
      <formula>0.51</formula>
      <formula>0.75</formula>
    </cfRule>
  </conditionalFormatting>
  <conditionalFormatting sqref="S7">
    <cfRule type="cellIs" dxfId="824" priority="253" operator="between">
      <formula>0.76</formula>
      <formula>0.95</formula>
    </cfRule>
  </conditionalFormatting>
  <conditionalFormatting sqref="T7">
    <cfRule type="cellIs" dxfId="823" priority="252" operator="between">
      <formula>0.95</formula>
      <formula>1</formula>
    </cfRule>
  </conditionalFormatting>
  <conditionalFormatting sqref="U7">
    <cfRule type="cellIs" dxfId="822" priority="251" operator="greaterThan">
      <formula>1</formula>
    </cfRule>
  </conditionalFormatting>
  <conditionalFormatting sqref="Q8:Q10">
    <cfRule type="cellIs" dxfId="821" priority="250" stopIfTrue="1" operator="between">
      <formula>0</formula>
      <formula>0.5</formula>
    </cfRule>
  </conditionalFormatting>
  <conditionalFormatting sqref="R8:R10">
    <cfRule type="cellIs" dxfId="820" priority="249" operator="between">
      <formula>0.51</formula>
      <formula>0.75</formula>
    </cfRule>
  </conditionalFormatting>
  <conditionalFormatting sqref="S8:S10">
    <cfRule type="cellIs" dxfId="819" priority="248" operator="between">
      <formula>0.76</formula>
      <formula>0.95</formula>
    </cfRule>
  </conditionalFormatting>
  <conditionalFormatting sqref="T8:T10">
    <cfRule type="cellIs" dxfId="818" priority="247" operator="between">
      <formula>0.95</formula>
      <formula>1</formula>
    </cfRule>
  </conditionalFormatting>
  <conditionalFormatting sqref="U8:U10">
    <cfRule type="cellIs" dxfId="817" priority="246" operator="greaterThan">
      <formula>1</formula>
    </cfRule>
  </conditionalFormatting>
  <conditionalFormatting sqref="Q13">
    <cfRule type="cellIs" dxfId="816" priority="245" stopIfTrue="1" operator="between">
      <formula>0</formula>
      <formula>0.5</formula>
    </cfRule>
  </conditionalFormatting>
  <conditionalFormatting sqref="R13">
    <cfRule type="cellIs" dxfId="815" priority="244" operator="between">
      <formula>0.51</formula>
      <formula>0.75</formula>
    </cfRule>
  </conditionalFormatting>
  <conditionalFormatting sqref="S13">
    <cfRule type="cellIs" dxfId="814" priority="243" operator="between">
      <formula>0.76</formula>
      <formula>0.95</formula>
    </cfRule>
  </conditionalFormatting>
  <conditionalFormatting sqref="T13">
    <cfRule type="cellIs" dxfId="813" priority="242" operator="between">
      <formula>0.95</formula>
      <formula>1</formula>
    </cfRule>
  </conditionalFormatting>
  <conditionalFormatting sqref="U13">
    <cfRule type="cellIs" dxfId="812" priority="241" operator="greaterThan">
      <formula>1</formula>
    </cfRule>
  </conditionalFormatting>
  <conditionalFormatting sqref="Q14">
    <cfRule type="cellIs" dxfId="811" priority="240" stopIfTrue="1" operator="between">
      <formula>0</formula>
      <formula>0.5</formula>
    </cfRule>
  </conditionalFormatting>
  <conditionalFormatting sqref="R14">
    <cfRule type="cellIs" dxfId="810" priority="239" operator="between">
      <formula>0.51</formula>
      <formula>0.75</formula>
    </cfRule>
  </conditionalFormatting>
  <conditionalFormatting sqref="S14">
    <cfRule type="cellIs" dxfId="809" priority="238" operator="between">
      <formula>0.76</formula>
      <formula>0.95</formula>
    </cfRule>
  </conditionalFormatting>
  <conditionalFormatting sqref="T14">
    <cfRule type="cellIs" dxfId="808" priority="237" operator="between">
      <formula>0.95</formula>
      <formula>1</formula>
    </cfRule>
  </conditionalFormatting>
  <conditionalFormatting sqref="U14">
    <cfRule type="cellIs" dxfId="807" priority="236" operator="greaterThan">
      <formula>1</formula>
    </cfRule>
  </conditionalFormatting>
  <conditionalFormatting sqref="Q15">
    <cfRule type="cellIs" dxfId="806" priority="235" stopIfTrue="1" operator="between">
      <formula>0</formula>
      <formula>0.5</formula>
    </cfRule>
  </conditionalFormatting>
  <conditionalFormatting sqref="R15">
    <cfRule type="cellIs" dxfId="805" priority="234" operator="between">
      <formula>0.51</formula>
      <formula>0.75</formula>
    </cfRule>
  </conditionalFormatting>
  <conditionalFormatting sqref="S15">
    <cfRule type="cellIs" dxfId="804" priority="233" operator="between">
      <formula>0.76</formula>
      <formula>0.95</formula>
    </cfRule>
  </conditionalFormatting>
  <conditionalFormatting sqref="T15">
    <cfRule type="cellIs" dxfId="803" priority="232" operator="between">
      <formula>0.95</formula>
      <formula>1</formula>
    </cfRule>
  </conditionalFormatting>
  <conditionalFormatting sqref="U15">
    <cfRule type="cellIs" dxfId="802" priority="231" operator="greaterThan">
      <formula>1</formula>
    </cfRule>
  </conditionalFormatting>
  <conditionalFormatting sqref="W6">
    <cfRule type="cellIs" dxfId="801" priority="230" stopIfTrue="1" operator="between">
      <formula>0</formula>
      <formula>0.255</formula>
    </cfRule>
  </conditionalFormatting>
  <conditionalFormatting sqref="X6">
    <cfRule type="cellIs" dxfId="800" priority="229" operator="between">
      <formula>0.2551</formula>
      <formula>0.375</formula>
    </cfRule>
  </conditionalFormatting>
  <conditionalFormatting sqref="Y6">
    <cfRule type="cellIs" dxfId="799" priority="228" operator="between">
      <formula>0.38</formula>
      <formula>0.475</formula>
    </cfRule>
  </conditionalFormatting>
  <conditionalFormatting sqref="Z6">
    <cfRule type="cellIs" dxfId="798" priority="227" operator="between">
      <formula>0.4751</formula>
      <formula>0.51</formula>
    </cfRule>
  </conditionalFormatting>
  <conditionalFormatting sqref="AA6">
    <cfRule type="cellIs" dxfId="797" priority="226" operator="greaterThan">
      <formula>0.505</formula>
    </cfRule>
  </conditionalFormatting>
  <conditionalFormatting sqref="W7">
    <cfRule type="cellIs" dxfId="796" priority="225" stopIfTrue="1" operator="between">
      <formula>0</formula>
      <formula>0.255</formula>
    </cfRule>
  </conditionalFormatting>
  <conditionalFormatting sqref="X7">
    <cfRule type="cellIs" dxfId="795" priority="224" operator="between">
      <formula>0.2551</formula>
      <formula>0.375</formula>
    </cfRule>
  </conditionalFormatting>
  <conditionalFormatting sqref="Y7">
    <cfRule type="cellIs" dxfId="794" priority="223" operator="between">
      <formula>0.38</formula>
      <formula>0.475</formula>
    </cfRule>
  </conditionalFormatting>
  <conditionalFormatting sqref="Z7">
    <cfRule type="cellIs" dxfId="793" priority="222" operator="between">
      <formula>0.48</formula>
      <formula>0.51</formula>
    </cfRule>
  </conditionalFormatting>
  <conditionalFormatting sqref="AA7">
    <cfRule type="cellIs" dxfId="792" priority="221" operator="greaterThan">
      <formula>0.505</formula>
    </cfRule>
  </conditionalFormatting>
  <conditionalFormatting sqref="W8:W10">
    <cfRule type="cellIs" dxfId="791" priority="220" stopIfTrue="1" operator="between">
      <formula>0</formula>
      <formula>0.255</formula>
    </cfRule>
  </conditionalFormatting>
  <conditionalFormatting sqref="X8:X10">
    <cfRule type="cellIs" dxfId="790" priority="219" operator="between">
      <formula>0.2551</formula>
      <formula>0.375</formula>
    </cfRule>
  </conditionalFormatting>
  <conditionalFormatting sqref="Y8:Y10">
    <cfRule type="cellIs" dxfId="789" priority="218" operator="between">
      <formula>0.38</formula>
      <formula>0.475</formula>
    </cfRule>
  </conditionalFormatting>
  <conditionalFormatting sqref="Z8:Z10">
    <cfRule type="cellIs" dxfId="788" priority="217" operator="between">
      <formula>0.48</formula>
      <formula>0.51</formula>
    </cfRule>
  </conditionalFormatting>
  <conditionalFormatting sqref="AA8:AA10">
    <cfRule type="cellIs" dxfId="787" priority="216" operator="greaterThan">
      <formula>0.505</formula>
    </cfRule>
  </conditionalFormatting>
  <conditionalFormatting sqref="W13">
    <cfRule type="cellIs" dxfId="786" priority="215" stopIfTrue="1" operator="between">
      <formula>0</formula>
      <formula>0.255</formula>
    </cfRule>
  </conditionalFormatting>
  <conditionalFormatting sqref="X13">
    <cfRule type="cellIs" dxfId="785" priority="214" operator="between">
      <formula>0.2551</formula>
      <formula>0.375</formula>
    </cfRule>
  </conditionalFormatting>
  <conditionalFormatting sqref="Y13">
    <cfRule type="cellIs" dxfId="784" priority="213" operator="between">
      <formula>0.38</formula>
      <formula>0.475</formula>
    </cfRule>
  </conditionalFormatting>
  <conditionalFormatting sqref="Z13">
    <cfRule type="cellIs" dxfId="783" priority="212" operator="between">
      <formula>0.48</formula>
      <formula>0.51</formula>
    </cfRule>
  </conditionalFormatting>
  <conditionalFormatting sqref="AA13">
    <cfRule type="cellIs" dxfId="782" priority="211" operator="greaterThan">
      <formula>0.505</formula>
    </cfRule>
  </conditionalFormatting>
  <conditionalFormatting sqref="W14">
    <cfRule type="cellIs" dxfId="781" priority="210" stopIfTrue="1" operator="between">
      <formula>0</formula>
      <formula>0.255</formula>
    </cfRule>
  </conditionalFormatting>
  <conditionalFormatting sqref="X14">
    <cfRule type="cellIs" dxfId="780" priority="209" operator="between">
      <formula>0.2551</formula>
      <formula>0.375</formula>
    </cfRule>
  </conditionalFormatting>
  <conditionalFormatting sqref="Y14">
    <cfRule type="cellIs" dxfId="779" priority="208" operator="between">
      <formula>0.38</formula>
      <formula>0.475</formula>
    </cfRule>
  </conditionalFormatting>
  <conditionalFormatting sqref="Z14">
    <cfRule type="cellIs" dxfId="778" priority="207" operator="between">
      <formula>0.48</formula>
      <formula>0.51</formula>
    </cfRule>
  </conditionalFormatting>
  <conditionalFormatting sqref="AA14">
    <cfRule type="cellIs" dxfId="777" priority="206" operator="greaterThan">
      <formula>0.505</formula>
    </cfRule>
  </conditionalFormatting>
  <conditionalFormatting sqref="W15">
    <cfRule type="cellIs" dxfId="776" priority="205" stopIfTrue="1" operator="between">
      <formula>0</formula>
      <formula>0.255</formula>
    </cfRule>
  </conditionalFormatting>
  <conditionalFormatting sqref="X15">
    <cfRule type="cellIs" dxfId="775" priority="204" operator="between">
      <formula>0.2551</formula>
      <formula>0.375</formula>
    </cfRule>
  </conditionalFormatting>
  <conditionalFormatting sqref="Y15">
    <cfRule type="cellIs" dxfId="774" priority="203" operator="between">
      <formula>0.38</formula>
      <formula>0.475</formula>
    </cfRule>
  </conditionalFormatting>
  <conditionalFormatting sqref="Z15">
    <cfRule type="cellIs" dxfId="773" priority="202" operator="between">
      <formula>0.48</formula>
      <formula>0.51</formula>
    </cfRule>
  </conditionalFormatting>
  <conditionalFormatting sqref="AA15">
    <cfRule type="cellIs" dxfId="772" priority="201" operator="greaterThan">
      <formula>0.505</formula>
    </cfRule>
  </conditionalFormatting>
  <conditionalFormatting sqref="AD6">
    <cfRule type="cellIs" dxfId="771" priority="200" stopIfTrue="1" operator="between">
      <formula>0</formula>
      <formula>0.5</formula>
    </cfRule>
  </conditionalFormatting>
  <conditionalFormatting sqref="AE6">
    <cfRule type="cellIs" dxfId="770" priority="199" operator="between">
      <formula>0.51</formula>
      <formula>0.75</formula>
    </cfRule>
  </conditionalFormatting>
  <conditionalFormatting sqref="AF6">
    <cfRule type="cellIs" dxfId="769" priority="198" operator="between">
      <formula>0.76</formula>
      <formula>0.95</formula>
    </cfRule>
  </conditionalFormatting>
  <conditionalFormatting sqref="AG6">
    <cfRule type="cellIs" dxfId="768" priority="197" operator="between">
      <formula>0.95</formula>
      <formula>1</formula>
    </cfRule>
  </conditionalFormatting>
  <conditionalFormatting sqref="AH6">
    <cfRule type="cellIs" dxfId="767" priority="196" operator="greaterThan">
      <formula>1</formula>
    </cfRule>
  </conditionalFormatting>
  <conditionalFormatting sqref="AD7">
    <cfRule type="cellIs" dxfId="766" priority="195" stopIfTrue="1" operator="between">
      <formula>0</formula>
      <formula>0.5</formula>
    </cfRule>
  </conditionalFormatting>
  <conditionalFormatting sqref="AE7">
    <cfRule type="cellIs" dxfId="765" priority="194" operator="between">
      <formula>0.51</formula>
      <formula>0.75</formula>
    </cfRule>
  </conditionalFormatting>
  <conditionalFormatting sqref="AF7">
    <cfRule type="cellIs" dxfId="764" priority="193" operator="between">
      <formula>0.76</formula>
      <formula>0.95</formula>
    </cfRule>
  </conditionalFormatting>
  <conditionalFormatting sqref="AG7">
    <cfRule type="cellIs" dxfId="763" priority="192" operator="between">
      <formula>0.95</formula>
      <formula>1</formula>
    </cfRule>
  </conditionalFormatting>
  <conditionalFormatting sqref="AH7">
    <cfRule type="cellIs" dxfId="762" priority="191" operator="greaterThan">
      <formula>1</formula>
    </cfRule>
  </conditionalFormatting>
  <conditionalFormatting sqref="AD8:AD10">
    <cfRule type="cellIs" dxfId="761" priority="190" stopIfTrue="1" operator="between">
      <formula>0</formula>
      <formula>0.5</formula>
    </cfRule>
  </conditionalFormatting>
  <conditionalFormatting sqref="AE8:AE10">
    <cfRule type="cellIs" dxfId="760" priority="189" operator="between">
      <formula>0.51</formula>
      <formula>0.75</formula>
    </cfRule>
  </conditionalFormatting>
  <conditionalFormatting sqref="AF8:AF10">
    <cfRule type="cellIs" dxfId="759" priority="188" operator="between">
      <formula>0.76</formula>
      <formula>0.95</formula>
    </cfRule>
  </conditionalFormatting>
  <conditionalFormatting sqref="AG8:AG10">
    <cfRule type="cellIs" dxfId="758" priority="187" operator="between">
      <formula>0.95</formula>
      <formula>1</formula>
    </cfRule>
  </conditionalFormatting>
  <conditionalFormatting sqref="AH8:AH10">
    <cfRule type="cellIs" dxfId="757" priority="186" operator="greaterThan">
      <formula>1</formula>
    </cfRule>
  </conditionalFormatting>
  <conditionalFormatting sqref="AD13">
    <cfRule type="cellIs" dxfId="756" priority="185" stopIfTrue="1" operator="between">
      <formula>0</formula>
      <formula>0.5</formula>
    </cfRule>
  </conditionalFormatting>
  <conditionalFormatting sqref="AE13">
    <cfRule type="cellIs" dxfId="755" priority="184" operator="between">
      <formula>0.51</formula>
      <formula>0.75</formula>
    </cfRule>
  </conditionalFormatting>
  <conditionalFormatting sqref="AF13">
    <cfRule type="cellIs" dxfId="754" priority="183" operator="between">
      <formula>0.76</formula>
      <formula>0.95</formula>
    </cfRule>
  </conditionalFormatting>
  <conditionalFormatting sqref="AG13">
    <cfRule type="cellIs" dxfId="753" priority="182" operator="between">
      <formula>0.95</formula>
      <formula>1</formula>
    </cfRule>
  </conditionalFormatting>
  <conditionalFormatting sqref="AH13">
    <cfRule type="cellIs" dxfId="752" priority="181" operator="greaterThan">
      <formula>1</formula>
    </cfRule>
  </conditionalFormatting>
  <conditionalFormatting sqref="AD14">
    <cfRule type="cellIs" dxfId="751" priority="180" stopIfTrue="1" operator="between">
      <formula>0</formula>
      <formula>0.5</formula>
    </cfRule>
  </conditionalFormatting>
  <conditionalFormatting sqref="AE14">
    <cfRule type="cellIs" dxfId="750" priority="179" operator="between">
      <formula>0.51</formula>
      <formula>0.75</formula>
    </cfRule>
  </conditionalFormatting>
  <conditionalFormatting sqref="AF14">
    <cfRule type="cellIs" dxfId="749" priority="178" operator="between">
      <formula>0.76</formula>
      <formula>0.95</formula>
    </cfRule>
  </conditionalFormatting>
  <conditionalFormatting sqref="AG14">
    <cfRule type="cellIs" dxfId="748" priority="177" operator="between">
      <formula>0.95</formula>
      <formula>1</formula>
    </cfRule>
  </conditionalFormatting>
  <conditionalFormatting sqref="AH14">
    <cfRule type="cellIs" dxfId="747" priority="176" operator="greaterThan">
      <formula>1</formula>
    </cfRule>
  </conditionalFormatting>
  <conditionalFormatting sqref="AD15">
    <cfRule type="cellIs" dxfId="746" priority="175" stopIfTrue="1" operator="between">
      <formula>0</formula>
      <formula>0.5</formula>
    </cfRule>
  </conditionalFormatting>
  <conditionalFormatting sqref="AE15">
    <cfRule type="cellIs" dxfId="745" priority="174" operator="between">
      <formula>0.51</formula>
      <formula>0.75</formula>
    </cfRule>
  </conditionalFormatting>
  <conditionalFormatting sqref="AF15">
    <cfRule type="cellIs" dxfId="744" priority="173" operator="between">
      <formula>0.76</formula>
      <formula>0.95</formula>
    </cfRule>
  </conditionalFormatting>
  <conditionalFormatting sqref="AG15">
    <cfRule type="cellIs" dxfId="743" priority="172" operator="between">
      <formula>0.95</formula>
      <formula>1</formula>
    </cfRule>
  </conditionalFormatting>
  <conditionalFormatting sqref="AH15">
    <cfRule type="cellIs" dxfId="742" priority="171" operator="greaterThan">
      <formula>1</formula>
    </cfRule>
  </conditionalFormatting>
  <conditionalFormatting sqref="AJ6">
    <cfRule type="cellIs" dxfId="741" priority="170" stopIfTrue="1" operator="between">
      <formula>0</formula>
      <formula>0.375</formula>
    </cfRule>
  </conditionalFormatting>
  <conditionalFormatting sqref="AK6">
    <cfRule type="cellIs" dxfId="740" priority="169" operator="between">
      <formula>0.3751</formula>
      <formula>0.5625</formula>
    </cfRule>
  </conditionalFormatting>
  <conditionalFormatting sqref="AL6">
    <cfRule type="cellIs" dxfId="739" priority="168" operator="between">
      <formula>0.563</formula>
      <formula>0.7125</formula>
    </cfRule>
  </conditionalFormatting>
  <conditionalFormatting sqref="AM6">
    <cfRule type="cellIs" dxfId="738" priority="167" operator="between">
      <formula>0.713</formula>
      <formula>0.75</formula>
    </cfRule>
  </conditionalFormatting>
  <conditionalFormatting sqref="AN6">
    <cfRule type="cellIs" dxfId="737" priority="166" operator="greaterThan">
      <formula>0.755</formula>
    </cfRule>
  </conditionalFormatting>
  <conditionalFormatting sqref="AJ7">
    <cfRule type="cellIs" dxfId="736" priority="165" stopIfTrue="1" operator="between">
      <formula>0</formula>
      <formula>0.375</formula>
    </cfRule>
  </conditionalFormatting>
  <conditionalFormatting sqref="AK7">
    <cfRule type="cellIs" dxfId="735" priority="164" operator="between">
      <formula>0.3751</formula>
      <formula>0.5625</formula>
    </cfRule>
  </conditionalFormatting>
  <conditionalFormatting sqref="AL7">
    <cfRule type="cellIs" dxfId="734" priority="163" operator="between">
      <formula>0.563</formula>
      <formula>0.7125</formula>
    </cfRule>
  </conditionalFormatting>
  <conditionalFormatting sqref="AM7">
    <cfRule type="cellIs" dxfId="733" priority="162" operator="between">
      <formula>0.713</formula>
      <formula>0.75</formula>
    </cfRule>
  </conditionalFormatting>
  <conditionalFormatting sqref="AN7">
    <cfRule type="cellIs" dxfId="732" priority="161" operator="greaterThan">
      <formula>0.755</formula>
    </cfRule>
  </conditionalFormatting>
  <conditionalFormatting sqref="AJ8:AJ10">
    <cfRule type="cellIs" dxfId="731" priority="160" stopIfTrue="1" operator="between">
      <formula>0</formula>
      <formula>0.375</formula>
    </cfRule>
  </conditionalFormatting>
  <conditionalFormatting sqref="AK8:AK10">
    <cfRule type="cellIs" dxfId="730" priority="159" operator="between">
      <formula>0.3751</formula>
      <formula>0.5625</formula>
    </cfRule>
  </conditionalFormatting>
  <conditionalFormatting sqref="AL8:AL10">
    <cfRule type="cellIs" dxfId="729" priority="158" operator="between">
      <formula>0.563</formula>
      <formula>0.7125</formula>
    </cfRule>
  </conditionalFormatting>
  <conditionalFormatting sqref="AM8:AM10">
    <cfRule type="cellIs" dxfId="728" priority="157" operator="between">
      <formula>0.713</formula>
      <formula>0.75</formula>
    </cfRule>
  </conditionalFormatting>
  <conditionalFormatting sqref="AN8:AN10">
    <cfRule type="cellIs" dxfId="727" priority="156" operator="greaterThan">
      <formula>0.755</formula>
    </cfRule>
  </conditionalFormatting>
  <conditionalFormatting sqref="AJ13">
    <cfRule type="cellIs" dxfId="726" priority="155" stopIfTrue="1" operator="between">
      <formula>0</formula>
      <formula>0.375</formula>
    </cfRule>
  </conditionalFormatting>
  <conditionalFormatting sqref="AK13">
    <cfRule type="cellIs" dxfId="725" priority="154" operator="between">
      <formula>0.3751</formula>
      <formula>0.5625</formula>
    </cfRule>
  </conditionalFormatting>
  <conditionalFormatting sqref="AL13">
    <cfRule type="cellIs" dxfId="724" priority="153" operator="between">
      <formula>0.563</formula>
      <formula>0.7125</formula>
    </cfRule>
  </conditionalFormatting>
  <conditionalFormatting sqref="AM13">
    <cfRule type="cellIs" dxfId="723" priority="152" operator="between">
      <formula>0.713</formula>
      <formula>0.75</formula>
    </cfRule>
  </conditionalFormatting>
  <conditionalFormatting sqref="AN13">
    <cfRule type="cellIs" dxfId="722" priority="151" operator="greaterThan">
      <formula>0.755</formula>
    </cfRule>
  </conditionalFormatting>
  <conditionalFormatting sqref="AJ14">
    <cfRule type="cellIs" dxfId="721" priority="150" stopIfTrue="1" operator="between">
      <formula>0</formula>
      <formula>0.375</formula>
    </cfRule>
  </conditionalFormatting>
  <conditionalFormatting sqref="AK14">
    <cfRule type="cellIs" dxfId="720" priority="149" operator="between">
      <formula>0.3751</formula>
      <formula>0.5625</formula>
    </cfRule>
  </conditionalFormatting>
  <conditionalFormatting sqref="AL14">
    <cfRule type="cellIs" dxfId="719" priority="148" operator="between">
      <formula>0.563</formula>
      <formula>0.7125</formula>
    </cfRule>
  </conditionalFormatting>
  <conditionalFormatting sqref="AM14">
    <cfRule type="cellIs" dxfId="718" priority="147" operator="between">
      <formula>0.713</formula>
      <formula>0.75</formula>
    </cfRule>
  </conditionalFormatting>
  <conditionalFormatting sqref="AN14">
    <cfRule type="cellIs" dxfId="717" priority="146" operator="greaterThan">
      <formula>0.755</formula>
    </cfRule>
  </conditionalFormatting>
  <conditionalFormatting sqref="AJ15">
    <cfRule type="cellIs" dxfId="716" priority="145" stopIfTrue="1" operator="between">
      <formula>0</formula>
      <formula>0.375</formula>
    </cfRule>
  </conditionalFormatting>
  <conditionalFormatting sqref="AK15">
    <cfRule type="cellIs" dxfId="715" priority="144" operator="between">
      <formula>0.3751</formula>
      <formula>0.5625</formula>
    </cfRule>
  </conditionalFormatting>
  <conditionalFormatting sqref="AL15">
    <cfRule type="cellIs" dxfId="714" priority="143" operator="between">
      <formula>0.563</formula>
      <formula>0.7125</formula>
    </cfRule>
  </conditionalFormatting>
  <conditionalFormatting sqref="AM15">
    <cfRule type="cellIs" dxfId="713" priority="142" operator="between">
      <formula>0.713</formula>
      <formula>0.75</formula>
    </cfRule>
  </conditionalFormatting>
  <conditionalFormatting sqref="AN15">
    <cfRule type="cellIs" dxfId="712" priority="141" operator="greaterThan">
      <formula>0.755</formula>
    </cfRule>
  </conditionalFormatting>
  <conditionalFormatting sqref="AQ6">
    <cfRule type="cellIs" dxfId="711" priority="140" stopIfTrue="1" operator="between">
      <formula>0</formula>
      <formula>0.5</formula>
    </cfRule>
  </conditionalFormatting>
  <conditionalFormatting sqref="AR6">
    <cfRule type="cellIs" dxfId="710" priority="139" operator="between">
      <formula>0.51</formula>
      <formula>0.75</formula>
    </cfRule>
  </conditionalFormatting>
  <conditionalFormatting sqref="AS6">
    <cfRule type="cellIs" dxfId="709" priority="138" operator="between">
      <formula>0.76</formula>
      <formula>0.95</formula>
    </cfRule>
  </conditionalFormatting>
  <conditionalFormatting sqref="AT6">
    <cfRule type="cellIs" dxfId="708" priority="137" operator="between">
      <formula>0.95</formula>
      <formula>1</formula>
    </cfRule>
  </conditionalFormatting>
  <conditionalFormatting sqref="AU6">
    <cfRule type="cellIs" dxfId="707" priority="136" operator="greaterThan">
      <formula>1</formula>
    </cfRule>
  </conditionalFormatting>
  <conditionalFormatting sqref="AQ7">
    <cfRule type="cellIs" dxfId="706" priority="135" stopIfTrue="1" operator="between">
      <formula>0</formula>
      <formula>0.5</formula>
    </cfRule>
  </conditionalFormatting>
  <conditionalFormatting sqref="AR7">
    <cfRule type="cellIs" dxfId="705" priority="134" operator="between">
      <formula>0.51</formula>
      <formula>0.75</formula>
    </cfRule>
  </conditionalFormatting>
  <conditionalFormatting sqref="AS7">
    <cfRule type="cellIs" dxfId="704" priority="133" operator="between">
      <formula>0.76</formula>
      <formula>0.95</formula>
    </cfRule>
  </conditionalFormatting>
  <conditionalFormatting sqref="AT7">
    <cfRule type="cellIs" dxfId="703" priority="132" operator="between">
      <formula>0.95</formula>
      <formula>1</formula>
    </cfRule>
  </conditionalFormatting>
  <conditionalFormatting sqref="AU7">
    <cfRule type="cellIs" dxfId="702" priority="131" operator="greaterThan">
      <formula>1</formula>
    </cfRule>
  </conditionalFormatting>
  <conditionalFormatting sqref="AQ8:AQ10">
    <cfRule type="cellIs" dxfId="701" priority="130" stopIfTrue="1" operator="between">
      <formula>0</formula>
      <formula>0.5</formula>
    </cfRule>
  </conditionalFormatting>
  <conditionalFormatting sqref="AR8:AR10">
    <cfRule type="cellIs" dxfId="700" priority="129" operator="between">
      <formula>0.51</formula>
      <formula>0.75</formula>
    </cfRule>
  </conditionalFormatting>
  <conditionalFormatting sqref="AS8:AS10">
    <cfRule type="cellIs" dxfId="699" priority="128" operator="between">
      <formula>0.76</formula>
      <formula>0.95</formula>
    </cfRule>
  </conditionalFormatting>
  <conditionalFormatting sqref="AT8:AT10">
    <cfRule type="cellIs" dxfId="698" priority="127" operator="between">
      <formula>0.95</formula>
      <formula>1</formula>
    </cfRule>
  </conditionalFormatting>
  <conditionalFormatting sqref="AU8:AU10">
    <cfRule type="cellIs" dxfId="697" priority="126" operator="greaterThan">
      <formula>1</formula>
    </cfRule>
  </conditionalFormatting>
  <conditionalFormatting sqref="AQ15">
    <cfRule type="cellIs" dxfId="696" priority="115" stopIfTrue="1" operator="between">
      <formula>0</formula>
      <formula>0.5</formula>
    </cfRule>
  </conditionalFormatting>
  <conditionalFormatting sqref="AR15">
    <cfRule type="cellIs" dxfId="695" priority="114" operator="between">
      <formula>0.51</formula>
      <formula>0.75</formula>
    </cfRule>
  </conditionalFormatting>
  <conditionalFormatting sqref="AS15">
    <cfRule type="cellIs" dxfId="694" priority="113" operator="between">
      <formula>0.76</formula>
      <formula>0.95</formula>
    </cfRule>
  </conditionalFormatting>
  <conditionalFormatting sqref="AT15">
    <cfRule type="cellIs" dxfId="693" priority="112" operator="between">
      <formula>0.95</formula>
      <formula>1</formula>
    </cfRule>
  </conditionalFormatting>
  <conditionalFormatting sqref="AU15">
    <cfRule type="cellIs" dxfId="692" priority="111" operator="greaterThan">
      <formula>1</formula>
    </cfRule>
  </conditionalFormatting>
  <conditionalFormatting sqref="AQ14">
    <cfRule type="cellIs" dxfId="691" priority="120" stopIfTrue="1" operator="between">
      <formula>0</formula>
      <formula>0.5</formula>
    </cfRule>
  </conditionalFormatting>
  <conditionalFormatting sqref="AR14">
    <cfRule type="cellIs" dxfId="690" priority="119" operator="between">
      <formula>0.51</formula>
      <formula>0.75</formula>
    </cfRule>
  </conditionalFormatting>
  <conditionalFormatting sqref="AS14">
    <cfRule type="cellIs" dxfId="689" priority="118" operator="between">
      <formula>0.76</formula>
      <formula>0.95</formula>
    </cfRule>
  </conditionalFormatting>
  <conditionalFormatting sqref="AT14">
    <cfRule type="cellIs" dxfId="688" priority="117" operator="between">
      <formula>0.95</formula>
      <formula>1</formula>
    </cfRule>
  </conditionalFormatting>
  <conditionalFormatting sqref="AU14">
    <cfRule type="cellIs" dxfId="687" priority="116" operator="greaterThan">
      <formula>1</formula>
    </cfRule>
  </conditionalFormatting>
  <conditionalFormatting sqref="AX6">
    <cfRule type="cellIs" dxfId="686" priority="110" operator="between">
      <formula>0.501</formula>
      <formula>0.75</formula>
    </cfRule>
  </conditionalFormatting>
  <conditionalFormatting sqref="AY6">
    <cfRule type="cellIs" dxfId="685" priority="109" operator="between">
      <formula>0.76</formula>
      <formula>0.95</formula>
    </cfRule>
  </conditionalFormatting>
  <conditionalFormatting sqref="AZ6">
    <cfRule type="cellIs" dxfId="684" priority="108" operator="between">
      <formula>0.95</formula>
      <formula>1</formula>
    </cfRule>
  </conditionalFormatting>
  <conditionalFormatting sqref="BA6">
    <cfRule type="cellIs" dxfId="683" priority="107" operator="greaterThan">
      <formula>1</formula>
    </cfRule>
  </conditionalFormatting>
  <conditionalFormatting sqref="AW7">
    <cfRule type="cellIs" dxfId="682" priority="106" stopIfTrue="1" operator="between">
      <formula>0</formula>
      <formula>0.5</formula>
    </cfRule>
  </conditionalFormatting>
  <conditionalFormatting sqref="AX7">
    <cfRule type="cellIs" dxfId="681" priority="105" operator="between">
      <formula>0.51</formula>
      <formula>0.75</formula>
    </cfRule>
  </conditionalFormatting>
  <conditionalFormatting sqref="AY7">
    <cfRule type="cellIs" dxfId="680" priority="104" operator="between">
      <formula>0.76</formula>
      <formula>0.95</formula>
    </cfRule>
  </conditionalFormatting>
  <conditionalFormatting sqref="AZ7">
    <cfRule type="cellIs" dxfId="679" priority="103" operator="between">
      <formula>0.95</formula>
      <formula>1</formula>
    </cfRule>
  </conditionalFormatting>
  <conditionalFormatting sqref="BA7">
    <cfRule type="cellIs" dxfId="678" priority="102" operator="greaterThan">
      <formula>1</formula>
    </cfRule>
  </conditionalFormatting>
  <conditionalFormatting sqref="AW8:AW10">
    <cfRule type="cellIs" dxfId="677" priority="101" stopIfTrue="1" operator="between">
      <formula>0</formula>
      <formula>0.5</formula>
    </cfRule>
  </conditionalFormatting>
  <conditionalFormatting sqref="AX8:AX10">
    <cfRule type="cellIs" dxfId="676" priority="100" operator="between">
      <formula>0.51</formula>
      <formula>0.75</formula>
    </cfRule>
  </conditionalFormatting>
  <conditionalFormatting sqref="AY8:AY10">
    <cfRule type="cellIs" dxfId="675" priority="99" operator="between">
      <formula>0.76</formula>
      <formula>0.95</formula>
    </cfRule>
  </conditionalFormatting>
  <conditionalFormatting sqref="AZ8:AZ10">
    <cfRule type="cellIs" dxfId="674" priority="98" operator="between">
      <formula>0.95</formula>
      <formula>1</formula>
    </cfRule>
  </conditionalFormatting>
  <conditionalFormatting sqref="BA8:BA10">
    <cfRule type="cellIs" dxfId="673" priority="97" operator="greaterThan">
      <formula>1</formula>
    </cfRule>
  </conditionalFormatting>
  <conditionalFormatting sqref="AW14">
    <cfRule type="cellIs" dxfId="672" priority="91" stopIfTrue="1" operator="between">
      <formula>0</formula>
      <formula>0.5</formula>
    </cfRule>
  </conditionalFormatting>
  <conditionalFormatting sqref="AX14">
    <cfRule type="cellIs" dxfId="671" priority="90" operator="between">
      <formula>0.51</formula>
      <formula>0.75</formula>
    </cfRule>
  </conditionalFormatting>
  <conditionalFormatting sqref="AY14">
    <cfRule type="cellIs" dxfId="670" priority="89" operator="between">
      <formula>0.76</formula>
      <formula>0.95</formula>
    </cfRule>
  </conditionalFormatting>
  <conditionalFormatting sqref="AZ14">
    <cfRule type="cellIs" dxfId="669" priority="88" operator="between">
      <formula>0.95</formula>
      <formula>1</formula>
    </cfRule>
  </conditionalFormatting>
  <conditionalFormatting sqref="BA14">
    <cfRule type="cellIs" dxfId="668" priority="87" operator="greaterThan">
      <formula>1</formula>
    </cfRule>
  </conditionalFormatting>
  <conditionalFormatting sqref="AW15">
    <cfRule type="cellIs" dxfId="667" priority="86" stopIfTrue="1" operator="between">
      <formula>0</formula>
      <formula>0.5</formula>
    </cfRule>
  </conditionalFormatting>
  <conditionalFormatting sqref="AX15">
    <cfRule type="cellIs" dxfId="666" priority="85" operator="between">
      <formula>0.51</formula>
      <formula>0.75</formula>
    </cfRule>
  </conditionalFormatting>
  <conditionalFormatting sqref="AY15">
    <cfRule type="cellIs" dxfId="665" priority="84" operator="between">
      <formula>0.76</formula>
      <formula>0.95</formula>
    </cfRule>
  </conditionalFormatting>
  <conditionalFormatting sqref="AZ15">
    <cfRule type="cellIs" dxfId="664" priority="83" operator="between">
      <formula>0.95</formula>
      <formula>1</formula>
    </cfRule>
  </conditionalFormatting>
  <conditionalFormatting sqref="BA15">
    <cfRule type="cellIs" dxfId="663" priority="82" operator="greaterThan">
      <formula>1</formula>
    </cfRule>
  </conditionalFormatting>
  <conditionalFormatting sqref="AW6">
    <cfRule type="cellIs" dxfId="662" priority="81" stopIfTrue="1" operator="between">
      <formula>0</formula>
      <formula>0.5</formula>
    </cfRule>
  </conditionalFormatting>
  <conditionalFormatting sqref="Q11:Q12">
    <cfRule type="cellIs" dxfId="661" priority="70" stopIfTrue="1" operator="between">
      <formula>0</formula>
      <formula>0.5</formula>
    </cfRule>
  </conditionalFormatting>
  <conditionalFormatting sqref="R11:R12">
    <cfRule type="cellIs" dxfId="660" priority="69" operator="between">
      <formula>0.51</formula>
      <formula>0.75</formula>
    </cfRule>
  </conditionalFormatting>
  <conditionalFormatting sqref="S11:S12">
    <cfRule type="cellIs" dxfId="659" priority="68" operator="between">
      <formula>0.76</formula>
      <formula>0.95</formula>
    </cfRule>
  </conditionalFormatting>
  <conditionalFormatting sqref="T11:T12">
    <cfRule type="cellIs" dxfId="658" priority="67" operator="between">
      <formula>0.95</formula>
      <formula>1</formula>
    </cfRule>
  </conditionalFormatting>
  <conditionalFormatting sqref="U11:U12">
    <cfRule type="cellIs" dxfId="657" priority="66" operator="greaterThan">
      <formula>1</formula>
    </cfRule>
  </conditionalFormatting>
  <conditionalFormatting sqref="W11:W12">
    <cfRule type="cellIs" dxfId="656" priority="65" stopIfTrue="1" operator="between">
      <formula>0</formula>
      <formula>0.255</formula>
    </cfRule>
  </conditionalFormatting>
  <conditionalFormatting sqref="X11:X12">
    <cfRule type="cellIs" dxfId="655" priority="64" operator="between">
      <formula>0.2551</formula>
      <formula>0.375</formula>
    </cfRule>
  </conditionalFormatting>
  <conditionalFormatting sqref="Y11:Y12">
    <cfRule type="cellIs" dxfId="654" priority="63" operator="between">
      <formula>0.38</formula>
      <formula>0.475</formula>
    </cfRule>
  </conditionalFormatting>
  <conditionalFormatting sqref="Z11:Z12">
    <cfRule type="cellIs" dxfId="653" priority="62" operator="between">
      <formula>0.48</formula>
      <formula>0.51</formula>
    </cfRule>
  </conditionalFormatting>
  <conditionalFormatting sqref="AA11:AA12">
    <cfRule type="cellIs" dxfId="652" priority="61" operator="greaterThan">
      <formula>0.505</formula>
    </cfRule>
  </conditionalFormatting>
  <conditionalFormatting sqref="AD11:AD12">
    <cfRule type="cellIs" dxfId="651" priority="60" stopIfTrue="1" operator="between">
      <formula>0</formula>
      <formula>0.5</formula>
    </cfRule>
  </conditionalFormatting>
  <conditionalFormatting sqref="AE11:AE12">
    <cfRule type="cellIs" dxfId="650" priority="59" operator="between">
      <formula>0.51</formula>
      <formula>0.75</formula>
    </cfRule>
  </conditionalFormatting>
  <conditionalFormatting sqref="AF11:AF12">
    <cfRule type="cellIs" dxfId="649" priority="58" operator="between">
      <formula>0.76</formula>
      <formula>0.95</formula>
    </cfRule>
  </conditionalFormatting>
  <conditionalFormatting sqref="AG11:AG12">
    <cfRule type="cellIs" dxfId="648" priority="57" operator="between">
      <formula>0.95</formula>
      <formula>1</formula>
    </cfRule>
  </conditionalFormatting>
  <conditionalFormatting sqref="AH11:AH12">
    <cfRule type="cellIs" dxfId="647" priority="56" operator="greaterThan">
      <formula>1</formula>
    </cfRule>
  </conditionalFormatting>
  <conditionalFormatting sqref="AJ11:AJ12">
    <cfRule type="cellIs" dxfId="646" priority="55" stopIfTrue="1" operator="between">
      <formula>0</formula>
      <formula>0.375</formula>
    </cfRule>
  </conditionalFormatting>
  <conditionalFormatting sqref="AK11:AK12">
    <cfRule type="cellIs" dxfId="645" priority="54" operator="between">
      <formula>0.3751</formula>
      <formula>0.5625</formula>
    </cfRule>
  </conditionalFormatting>
  <conditionalFormatting sqref="AL11:AL12">
    <cfRule type="cellIs" dxfId="644" priority="53" operator="between">
      <formula>0.563</formula>
      <formula>0.7125</formula>
    </cfRule>
  </conditionalFormatting>
  <conditionalFormatting sqref="AM11:AM12">
    <cfRule type="cellIs" dxfId="643" priority="52" operator="between">
      <formula>0.713</formula>
      <formula>0.75</formula>
    </cfRule>
  </conditionalFormatting>
  <conditionalFormatting sqref="AN11:AN12">
    <cfRule type="cellIs" dxfId="642" priority="51" operator="greaterThan">
      <formula>0.755</formula>
    </cfRule>
  </conditionalFormatting>
  <conditionalFormatting sqref="AQ11:AQ13">
    <cfRule type="cellIs" dxfId="641" priority="50" stopIfTrue="1" operator="between">
      <formula>0</formula>
      <formula>0.5</formula>
    </cfRule>
  </conditionalFormatting>
  <conditionalFormatting sqref="AR11:AR13">
    <cfRule type="cellIs" dxfId="640" priority="49" operator="between">
      <formula>0.51</formula>
      <formula>0.75</formula>
    </cfRule>
  </conditionalFormatting>
  <conditionalFormatting sqref="AS11:AS13">
    <cfRule type="cellIs" dxfId="639" priority="48" operator="between">
      <formula>0.76</formula>
      <formula>0.95</formula>
    </cfRule>
  </conditionalFormatting>
  <conditionalFormatting sqref="AT11:AT13">
    <cfRule type="cellIs" dxfId="638" priority="47" operator="between">
      <formula>0.95</formula>
      <formula>1</formula>
    </cfRule>
  </conditionalFormatting>
  <conditionalFormatting sqref="AU11:AU13">
    <cfRule type="cellIs" dxfId="637" priority="46" operator="greaterThan">
      <formula>1</formula>
    </cfRule>
  </conditionalFormatting>
  <conditionalFormatting sqref="AW11:AW13">
    <cfRule type="cellIs" dxfId="636" priority="45" stopIfTrue="1" operator="between">
      <formula>0</formula>
      <formula>0.5</formula>
    </cfRule>
  </conditionalFormatting>
  <conditionalFormatting sqref="AX11:AX13">
    <cfRule type="cellIs" dxfId="635" priority="44" operator="between">
      <formula>0.51</formula>
      <formula>0.75</formula>
    </cfRule>
  </conditionalFormatting>
  <conditionalFormatting sqref="AY11:AY13">
    <cfRule type="cellIs" dxfId="634" priority="43" operator="between">
      <formula>0.76</formula>
      <formula>0.95</formula>
    </cfRule>
  </conditionalFormatting>
  <conditionalFormatting sqref="AZ11:AZ13">
    <cfRule type="cellIs" dxfId="633" priority="42" operator="between">
      <formula>0.95</formula>
      <formula>1</formula>
    </cfRule>
  </conditionalFormatting>
  <conditionalFormatting sqref="BA11:BA13">
    <cfRule type="cellIs" dxfId="632" priority="41" operator="greaterThan">
      <formula>1</formula>
    </cfRule>
  </conditionalFormatting>
  <conditionalFormatting sqref="D6">
    <cfRule type="cellIs" dxfId="631" priority="40" stopIfTrue="1" operator="between">
      <formula>0</formula>
      <formula>0.5</formula>
    </cfRule>
  </conditionalFormatting>
  <conditionalFormatting sqref="E6">
    <cfRule type="cellIs" dxfId="630" priority="39" operator="between">
      <formula>0.51</formula>
      <formula>0.7501</formula>
    </cfRule>
  </conditionalFormatting>
  <conditionalFormatting sqref="F6">
    <cfRule type="cellIs" dxfId="629" priority="38" operator="between">
      <formula>0.76</formula>
      <formula>0.95</formula>
    </cfRule>
  </conditionalFormatting>
  <conditionalFormatting sqref="G6">
    <cfRule type="cellIs" dxfId="628" priority="37" operator="between">
      <formula>0.96</formula>
      <formula>1</formula>
    </cfRule>
  </conditionalFormatting>
  <conditionalFormatting sqref="H6">
    <cfRule type="cellIs" dxfId="627" priority="36" operator="greaterThan">
      <formula>1</formula>
    </cfRule>
  </conditionalFormatting>
  <conditionalFormatting sqref="D7">
    <cfRule type="cellIs" dxfId="626" priority="35" stopIfTrue="1" operator="between">
      <formula>0</formula>
      <formula>0.5</formula>
    </cfRule>
  </conditionalFormatting>
  <conditionalFormatting sqref="E7">
    <cfRule type="cellIs" dxfId="625" priority="34" operator="between">
      <formula>0.51</formula>
      <formula>0.75</formula>
    </cfRule>
  </conditionalFormatting>
  <conditionalFormatting sqref="F7">
    <cfRule type="cellIs" dxfId="624" priority="33" operator="between">
      <formula>0.76</formula>
      <formula>0.95</formula>
    </cfRule>
  </conditionalFormatting>
  <conditionalFormatting sqref="G7">
    <cfRule type="cellIs" dxfId="623" priority="32" operator="between">
      <formula>0.96</formula>
      <formula>1</formula>
    </cfRule>
  </conditionalFormatting>
  <conditionalFormatting sqref="H7">
    <cfRule type="cellIs" dxfId="622" priority="31" operator="greaterThan">
      <formula>1</formula>
    </cfRule>
  </conditionalFormatting>
  <conditionalFormatting sqref="D8">
    <cfRule type="cellIs" dxfId="621" priority="30" stopIfTrue="1" operator="between">
      <formula>0</formula>
      <formula>0.5</formula>
    </cfRule>
  </conditionalFormatting>
  <conditionalFormatting sqref="E8">
    <cfRule type="cellIs" dxfId="620" priority="29" operator="between">
      <formula>0.51</formula>
      <formula>0.75</formula>
    </cfRule>
  </conditionalFormatting>
  <conditionalFormatting sqref="F8">
    <cfRule type="cellIs" dxfId="619" priority="28" operator="between">
      <formula>0.76</formula>
      <formula>0.95</formula>
    </cfRule>
  </conditionalFormatting>
  <conditionalFormatting sqref="G8">
    <cfRule type="cellIs" dxfId="618" priority="27" operator="between">
      <formula>0.96</formula>
      <formula>1</formula>
    </cfRule>
  </conditionalFormatting>
  <conditionalFormatting sqref="H8">
    <cfRule type="cellIs" dxfId="617" priority="26" operator="greaterThan">
      <formula>1</formula>
    </cfRule>
  </conditionalFormatting>
  <conditionalFormatting sqref="D9:D14">
    <cfRule type="cellIs" dxfId="616" priority="25" stopIfTrue="1" operator="between">
      <formula>0</formula>
      <formula>0.5</formula>
    </cfRule>
  </conditionalFormatting>
  <conditionalFormatting sqref="E9:E14">
    <cfRule type="cellIs" dxfId="615" priority="24" operator="between">
      <formula>0.51</formula>
      <formula>0.75</formula>
    </cfRule>
  </conditionalFormatting>
  <conditionalFormatting sqref="F9:F14">
    <cfRule type="cellIs" dxfId="614" priority="23" operator="between">
      <formula>0.76</formula>
      <formula>0.95</formula>
    </cfRule>
  </conditionalFormatting>
  <conditionalFormatting sqref="G9:G14">
    <cfRule type="cellIs" dxfId="613" priority="22" operator="between">
      <formula>0.96</formula>
      <formula>1</formula>
    </cfRule>
  </conditionalFormatting>
  <conditionalFormatting sqref="H9:H14">
    <cfRule type="cellIs" dxfId="612" priority="21" operator="greaterThan">
      <formula>1</formula>
    </cfRule>
  </conditionalFormatting>
  <conditionalFormatting sqref="D15">
    <cfRule type="cellIs" dxfId="611" priority="20" stopIfTrue="1" operator="between">
      <formula>0</formula>
      <formula>0.5</formula>
    </cfRule>
  </conditionalFormatting>
  <conditionalFormatting sqref="E15">
    <cfRule type="cellIs" dxfId="610" priority="19" operator="between">
      <formula>0.51</formula>
      <formula>0.75</formula>
    </cfRule>
  </conditionalFormatting>
  <conditionalFormatting sqref="F15">
    <cfRule type="cellIs" dxfId="609" priority="18" operator="between">
      <formula>0.76</formula>
      <formula>0.95</formula>
    </cfRule>
  </conditionalFormatting>
  <conditionalFormatting sqref="G15">
    <cfRule type="cellIs" dxfId="608" priority="17" operator="between">
      <formula>0.96</formula>
      <formula>1</formula>
    </cfRule>
  </conditionalFormatting>
  <conditionalFormatting sqref="H15">
    <cfRule type="cellIs" dxfId="607" priority="16" operator="greaterThan">
      <formula>1</formula>
    </cfRule>
  </conditionalFormatting>
  <conditionalFormatting sqref="J6">
    <cfRule type="cellIs" dxfId="606" priority="15" stopIfTrue="1" operator="between">
      <formula>0</formula>
      <formula>0.125</formula>
    </cfRule>
  </conditionalFormatting>
  <conditionalFormatting sqref="K6">
    <cfRule type="cellIs" dxfId="605" priority="14" operator="between">
      <formula>0.1251</formula>
      <formula>0.18755</formula>
    </cfRule>
  </conditionalFormatting>
  <conditionalFormatting sqref="L6">
    <cfRule type="cellIs" dxfId="604" priority="13" operator="between">
      <formula>0.187501</formula>
      <formula>0.2375</formula>
    </cfRule>
  </conditionalFormatting>
  <conditionalFormatting sqref="M6">
    <cfRule type="cellIs" dxfId="603" priority="12" operator="between">
      <formula>0.2376</formula>
      <formula>0.25</formula>
    </cfRule>
  </conditionalFormatting>
  <conditionalFormatting sqref="N6">
    <cfRule type="cellIs" dxfId="602" priority="11" operator="greaterThan">
      <formula>0.25</formula>
    </cfRule>
  </conditionalFormatting>
  <conditionalFormatting sqref="J7">
    <cfRule type="cellIs" dxfId="601" priority="10" stopIfTrue="1" operator="between">
      <formula>0</formula>
      <formula>0.125</formula>
    </cfRule>
  </conditionalFormatting>
  <conditionalFormatting sqref="K7">
    <cfRule type="cellIs" dxfId="600" priority="9" operator="between">
      <formula>0.1251</formula>
      <formula>0.1875</formula>
    </cfRule>
  </conditionalFormatting>
  <conditionalFormatting sqref="L7">
    <cfRule type="cellIs" dxfId="599" priority="8" operator="between">
      <formula>0.1876</formula>
      <formula>0.2375</formula>
    </cfRule>
  </conditionalFormatting>
  <conditionalFormatting sqref="M7">
    <cfRule type="cellIs" dxfId="598" priority="7" operator="between">
      <formula>0.2376</formula>
      <formula>0.25</formula>
    </cfRule>
  </conditionalFormatting>
  <conditionalFormatting sqref="N7">
    <cfRule type="cellIs" dxfId="597" priority="6" operator="greaterThan">
      <formula>0.25</formula>
    </cfRule>
  </conditionalFormatting>
  <conditionalFormatting sqref="J8:J15">
    <cfRule type="cellIs" dxfId="596" priority="5" stopIfTrue="1" operator="between">
      <formula>0</formula>
      <formula>0.125</formula>
    </cfRule>
  </conditionalFormatting>
  <conditionalFormatting sqref="K8:K15">
    <cfRule type="cellIs" dxfId="595" priority="4" operator="between">
      <formula>0.1251</formula>
      <formula>0.1875</formula>
    </cfRule>
  </conditionalFormatting>
  <conditionalFormatting sqref="L8:L15">
    <cfRule type="cellIs" dxfId="594" priority="3" operator="between">
      <formula>0.1876</formula>
      <formula>0.2375</formula>
    </cfRule>
  </conditionalFormatting>
  <conditionalFormatting sqref="M8:M15">
    <cfRule type="cellIs" dxfId="593" priority="2" operator="between">
      <formula>0.2376</formula>
      <formula>0.25</formula>
    </cfRule>
  </conditionalFormatting>
  <conditionalFormatting sqref="N8:N15">
    <cfRule type="cellIs" dxfId="592" priority="1" operator="greaterThan">
      <formula>0.25</formula>
    </cfRule>
  </conditionalFormatting>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644924F2-F5D3-4CB5-BC5E-D1C6614B1DA3}"/>
</file>

<file path=customXml/itemProps2.xml><?xml version="1.0" encoding="utf-8"?>
<ds:datastoreItem xmlns:ds="http://schemas.openxmlformats.org/officeDocument/2006/customXml" ds:itemID="{D9234E9C-573F-48DC-A850-B453C6978078}"/>
</file>

<file path=customXml/itemProps3.xml><?xml version="1.0" encoding="utf-8"?>
<ds:datastoreItem xmlns:ds="http://schemas.openxmlformats.org/officeDocument/2006/customXml" ds:itemID="{1C221A96-ADF8-41E8-BB99-CCBACB495D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2019-08-08T18:59:19Z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